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<sst xmlns="http://schemas.openxmlformats.org/spreadsheetml/2006/main" count="6" uniqueCount="6">
  <si>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2022年度利辛县中小学新任教师公开招聘笔试成绩</t>
  </si>
  <si>
    <t>准考证号</t>
  </si>
  <si>
    <t>岗位代码</t>
  </si>
  <si>
    <t>教育综合</t>
  </si>
  <si>
    <t>学科专业</t>
  </si>
  <si>
    <t>笔试成绩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</si>
</sst>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653"/>
  <sheetViews>
    <sheetView tabSelected="1" workbookViewId="0">
      <selection activeCell="G3" sqref="G3"/>
    </sheetView>
  </sheetViews>
  <sheetFormatPr defaultColWidth="9" defaultRowHeight="13.5" outlineLevelCol="4"/>
  <cols>
    <col min="1" max="1" width="18.375" customWidth="1"/>
    <col min="2" max="2" width="18.25" customWidth="1"/>
    <col min="3" max="3" width="17" customWidth="1"/>
    <col min="4" max="4" width="17.125" customWidth="1"/>
    <col min="5" max="5" width="15.625" customWidth="1"/>
  </cols>
  <sheetData>
    <row r="2" ht="40" customHeight="1" spans="1:5">
      <c r="A2" s="1" t="s">
        <v>0</v>
      </c>
      <c r="B2" s="2"/>
      <c r="C2" s="2"/>
      <c r="D2" s="2"/>
      <c r="E2" s="2"/>
    </row>
    <row r="3" ht="30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 t="str">
        <f>"20228010101"</f>
        <v>20228010101</v>
      </c>
      <c r="B4" s="4" t="str">
        <f t="shared" ref="B4:B67" si="0">"20220301"</f>
        <v>20220301</v>
      </c>
      <c r="C4" s="5">
        <v>85.2</v>
      </c>
      <c r="D4" s="5">
        <v>76.8</v>
      </c>
      <c r="E4" s="5">
        <v>80.16</v>
      </c>
    </row>
    <row r="5" spans="1:5">
      <c r="A5" s="4" t="str">
        <f>"20228010102"</f>
        <v>20228010102</v>
      </c>
      <c r="B5" s="4" t="str">
        <f t="shared" si="0"/>
        <v>20220301</v>
      </c>
      <c r="C5" s="5">
        <v>0</v>
      </c>
      <c r="D5" s="5">
        <v>0</v>
      </c>
      <c r="E5" s="5">
        <v>0</v>
      </c>
    </row>
    <row r="6" spans="1:5">
      <c r="A6" s="4" t="str">
        <f>"20228010103"</f>
        <v>20228010103</v>
      </c>
      <c r="B6" s="4" t="str">
        <f t="shared" si="0"/>
        <v>20220301</v>
      </c>
      <c r="C6" s="5">
        <v>0</v>
      </c>
      <c r="D6" s="5">
        <v>0</v>
      </c>
      <c r="E6" s="5">
        <v>0</v>
      </c>
    </row>
    <row r="7" spans="1:5">
      <c r="A7" s="4" t="str">
        <f>"20228010104"</f>
        <v>20228010104</v>
      </c>
      <c r="B7" s="4" t="str">
        <f t="shared" si="0"/>
        <v>20220301</v>
      </c>
      <c r="C7" s="5">
        <v>0</v>
      </c>
      <c r="D7" s="5">
        <v>72.4</v>
      </c>
      <c r="E7" s="5">
        <v>43.44</v>
      </c>
    </row>
    <row r="8" spans="1:5">
      <c r="A8" s="4" t="str">
        <f>"20228010105"</f>
        <v>20228010105</v>
      </c>
      <c r="B8" s="4" t="str">
        <f t="shared" si="0"/>
        <v>20220301</v>
      </c>
      <c r="C8" s="5">
        <v>0</v>
      </c>
      <c r="D8" s="5">
        <v>0</v>
      </c>
      <c r="E8" s="5">
        <v>0</v>
      </c>
    </row>
    <row r="9" spans="1:5">
      <c r="A9" s="4" t="str">
        <f>"20228010106"</f>
        <v>20228010106</v>
      </c>
      <c r="B9" s="4" t="str">
        <f t="shared" si="0"/>
        <v>20220301</v>
      </c>
      <c r="C9" s="5">
        <v>0</v>
      </c>
      <c r="D9" s="5">
        <v>0</v>
      </c>
      <c r="E9" s="5">
        <v>0</v>
      </c>
    </row>
    <row r="10" spans="1:5">
      <c r="A10" s="4" t="str">
        <f>"20228010107"</f>
        <v>20228010107</v>
      </c>
      <c r="B10" s="4" t="str">
        <f t="shared" si="0"/>
        <v>20220301</v>
      </c>
      <c r="C10" s="5">
        <v>92</v>
      </c>
      <c r="D10" s="5">
        <v>92.2</v>
      </c>
      <c r="E10" s="5">
        <v>92.12</v>
      </c>
    </row>
    <row r="11" spans="1:5">
      <c r="A11" s="4" t="str">
        <f>"20228010108"</f>
        <v>20228010108</v>
      </c>
      <c r="B11" s="4" t="str">
        <f t="shared" si="0"/>
        <v>20220301</v>
      </c>
      <c r="C11" s="5">
        <v>0</v>
      </c>
      <c r="D11" s="5">
        <v>0</v>
      </c>
      <c r="E11" s="5">
        <v>0</v>
      </c>
    </row>
    <row r="12" spans="1:5">
      <c r="A12" s="4" t="str">
        <f>"20228010109"</f>
        <v>20228010109</v>
      </c>
      <c r="B12" s="4" t="str">
        <f t="shared" si="0"/>
        <v>20220301</v>
      </c>
      <c r="C12" s="5">
        <v>92</v>
      </c>
      <c r="D12" s="5">
        <v>85.6</v>
      </c>
      <c r="E12" s="5">
        <v>88.16</v>
      </c>
    </row>
    <row r="13" spans="1:5">
      <c r="A13" s="4" t="str">
        <f>"20228010110"</f>
        <v>20228010110</v>
      </c>
      <c r="B13" s="4" t="str">
        <f t="shared" si="0"/>
        <v>20220301</v>
      </c>
      <c r="C13" s="5">
        <v>0</v>
      </c>
      <c r="D13" s="5">
        <v>0</v>
      </c>
      <c r="E13" s="5">
        <v>0</v>
      </c>
    </row>
    <row r="14" spans="1:5">
      <c r="A14" s="4" t="str">
        <f>"20228010111"</f>
        <v>20228010111</v>
      </c>
      <c r="B14" s="4" t="str">
        <f t="shared" si="0"/>
        <v>20220301</v>
      </c>
      <c r="C14" s="5">
        <v>79.6</v>
      </c>
      <c r="D14" s="5">
        <v>81.7</v>
      </c>
      <c r="E14" s="5">
        <v>80.86</v>
      </c>
    </row>
    <row r="15" spans="1:5">
      <c r="A15" s="4" t="str">
        <f>"20228010112"</f>
        <v>20228010112</v>
      </c>
      <c r="B15" s="4" t="str">
        <f t="shared" si="0"/>
        <v>20220301</v>
      </c>
      <c r="C15" s="5">
        <v>98.8</v>
      </c>
      <c r="D15" s="5">
        <v>81.1</v>
      </c>
      <c r="E15" s="5">
        <v>88.18</v>
      </c>
    </row>
    <row r="16" spans="1:5">
      <c r="A16" s="4" t="str">
        <f>"20228010113"</f>
        <v>20228010113</v>
      </c>
      <c r="B16" s="4" t="str">
        <f t="shared" si="0"/>
        <v>20220301</v>
      </c>
      <c r="C16" s="5">
        <v>0</v>
      </c>
      <c r="D16" s="5">
        <v>0</v>
      </c>
      <c r="E16" s="5">
        <v>0</v>
      </c>
    </row>
    <row r="17" spans="1:5">
      <c r="A17" s="4" t="str">
        <f>"20228010114"</f>
        <v>20228010114</v>
      </c>
      <c r="B17" s="4" t="str">
        <f t="shared" si="0"/>
        <v>20220301</v>
      </c>
      <c r="C17" s="5">
        <v>0</v>
      </c>
      <c r="D17" s="5">
        <v>0</v>
      </c>
      <c r="E17" s="5">
        <v>0</v>
      </c>
    </row>
    <row r="18" spans="1:5">
      <c r="A18" s="4" t="str">
        <f>"20228010115"</f>
        <v>20228010115</v>
      </c>
      <c r="B18" s="4" t="str">
        <f t="shared" si="0"/>
        <v>20220301</v>
      </c>
      <c r="C18" s="5">
        <v>82.7</v>
      </c>
      <c r="D18" s="5">
        <v>79.3</v>
      </c>
      <c r="E18" s="5">
        <v>80.66</v>
      </c>
    </row>
    <row r="19" spans="1:5">
      <c r="A19" s="4" t="str">
        <f>"20228010116"</f>
        <v>20228010116</v>
      </c>
      <c r="B19" s="4" t="str">
        <f t="shared" si="0"/>
        <v>20220301</v>
      </c>
      <c r="C19" s="5">
        <v>73.3</v>
      </c>
      <c r="D19" s="5">
        <v>76</v>
      </c>
      <c r="E19" s="5">
        <v>74.92</v>
      </c>
    </row>
    <row r="20" spans="1:5">
      <c r="A20" s="4" t="str">
        <f>"20228010117"</f>
        <v>20228010117</v>
      </c>
      <c r="B20" s="4" t="str">
        <f t="shared" si="0"/>
        <v>20220301</v>
      </c>
      <c r="C20" s="5">
        <v>95.4</v>
      </c>
      <c r="D20" s="5">
        <v>87.7</v>
      </c>
      <c r="E20" s="5">
        <v>90.78</v>
      </c>
    </row>
    <row r="21" spans="1:5">
      <c r="A21" s="4" t="str">
        <f>"20228010118"</f>
        <v>20228010118</v>
      </c>
      <c r="B21" s="4" t="str">
        <f t="shared" si="0"/>
        <v>20220301</v>
      </c>
      <c r="C21" s="5">
        <v>0</v>
      </c>
      <c r="D21" s="5">
        <v>0</v>
      </c>
      <c r="E21" s="5">
        <v>0</v>
      </c>
    </row>
    <row r="22" spans="1:5">
      <c r="A22" s="4" t="str">
        <f>"20228010119"</f>
        <v>20228010119</v>
      </c>
      <c r="B22" s="4" t="str">
        <f t="shared" si="0"/>
        <v>20220301</v>
      </c>
      <c r="C22" s="5">
        <v>86.8</v>
      </c>
      <c r="D22" s="5">
        <v>81.1</v>
      </c>
      <c r="E22" s="5">
        <v>83.38</v>
      </c>
    </row>
    <row r="23" spans="1:5">
      <c r="A23" s="4" t="str">
        <f>"20228010120"</f>
        <v>20228010120</v>
      </c>
      <c r="B23" s="4" t="str">
        <f t="shared" si="0"/>
        <v>20220301</v>
      </c>
      <c r="C23" s="5">
        <v>82.5</v>
      </c>
      <c r="D23" s="5">
        <v>78.9</v>
      </c>
      <c r="E23" s="5">
        <v>80.34</v>
      </c>
    </row>
    <row r="24" spans="1:5">
      <c r="A24" s="4" t="str">
        <f>"20228010121"</f>
        <v>20228010121</v>
      </c>
      <c r="B24" s="4" t="str">
        <f t="shared" si="0"/>
        <v>20220301</v>
      </c>
      <c r="C24" s="5">
        <v>86.3</v>
      </c>
      <c r="D24" s="5">
        <v>83</v>
      </c>
      <c r="E24" s="5">
        <v>84.32</v>
      </c>
    </row>
    <row r="25" spans="1:5">
      <c r="A25" s="4" t="str">
        <f>"20228010122"</f>
        <v>20228010122</v>
      </c>
      <c r="B25" s="4" t="str">
        <f t="shared" si="0"/>
        <v>20220301</v>
      </c>
      <c r="C25" s="5">
        <v>78.1</v>
      </c>
      <c r="D25" s="5">
        <v>67</v>
      </c>
      <c r="E25" s="5">
        <v>71.44</v>
      </c>
    </row>
    <row r="26" spans="1:5">
      <c r="A26" s="4" t="str">
        <f>"20228010123"</f>
        <v>20228010123</v>
      </c>
      <c r="B26" s="4" t="str">
        <f t="shared" si="0"/>
        <v>20220301</v>
      </c>
      <c r="C26" s="5">
        <v>98.2</v>
      </c>
      <c r="D26" s="5">
        <v>80.2</v>
      </c>
      <c r="E26" s="5">
        <v>87.4</v>
      </c>
    </row>
    <row r="27" spans="1:5">
      <c r="A27" s="4" t="str">
        <f>"20228010124"</f>
        <v>20228010124</v>
      </c>
      <c r="B27" s="4" t="str">
        <f t="shared" si="0"/>
        <v>20220301</v>
      </c>
      <c r="C27" s="5">
        <v>0</v>
      </c>
      <c r="D27" s="5">
        <v>0</v>
      </c>
      <c r="E27" s="5">
        <v>0</v>
      </c>
    </row>
    <row r="28" spans="1:5">
      <c r="A28" s="4" t="str">
        <f>"20228010125"</f>
        <v>20228010125</v>
      </c>
      <c r="B28" s="4" t="str">
        <f t="shared" si="0"/>
        <v>20220301</v>
      </c>
      <c r="C28" s="5">
        <v>0</v>
      </c>
      <c r="D28" s="5">
        <v>0</v>
      </c>
      <c r="E28" s="5">
        <v>0</v>
      </c>
    </row>
    <row r="29" spans="1:5">
      <c r="A29" s="4" t="str">
        <f>"20228010126"</f>
        <v>20228010126</v>
      </c>
      <c r="B29" s="4" t="str">
        <f t="shared" si="0"/>
        <v>20220301</v>
      </c>
      <c r="C29" s="5">
        <v>0</v>
      </c>
      <c r="D29" s="5">
        <v>0</v>
      </c>
      <c r="E29" s="5">
        <v>0</v>
      </c>
    </row>
    <row r="30" spans="1:5">
      <c r="A30" s="4" t="str">
        <f>"20228010127"</f>
        <v>20228010127</v>
      </c>
      <c r="B30" s="4" t="str">
        <f t="shared" si="0"/>
        <v>20220301</v>
      </c>
      <c r="C30" s="5">
        <v>62.9</v>
      </c>
      <c r="D30" s="5">
        <v>68.1</v>
      </c>
      <c r="E30" s="5">
        <v>66.02</v>
      </c>
    </row>
    <row r="31" spans="1:5">
      <c r="A31" s="4" t="str">
        <f>"20228010128"</f>
        <v>20228010128</v>
      </c>
      <c r="B31" s="4" t="str">
        <f t="shared" si="0"/>
        <v>20220301</v>
      </c>
      <c r="C31" s="5">
        <v>100.5</v>
      </c>
      <c r="D31" s="5">
        <v>83.5</v>
      </c>
      <c r="E31" s="5">
        <v>90.3</v>
      </c>
    </row>
    <row r="32" spans="1:5">
      <c r="A32" s="4" t="str">
        <f>"20228010129"</f>
        <v>20228010129</v>
      </c>
      <c r="B32" s="4" t="str">
        <f t="shared" si="0"/>
        <v>20220301</v>
      </c>
      <c r="C32" s="5">
        <v>69.4</v>
      </c>
      <c r="D32" s="5">
        <v>83</v>
      </c>
      <c r="E32" s="5">
        <v>77.56</v>
      </c>
    </row>
    <row r="33" spans="1:5">
      <c r="A33" s="4" t="str">
        <f>"20228010130"</f>
        <v>20228010130</v>
      </c>
      <c r="B33" s="4" t="str">
        <f t="shared" si="0"/>
        <v>20220301</v>
      </c>
      <c r="C33" s="5">
        <v>0</v>
      </c>
      <c r="D33" s="5">
        <v>0</v>
      </c>
      <c r="E33" s="5">
        <v>0</v>
      </c>
    </row>
    <row r="34" spans="1:5">
      <c r="A34" s="4" t="str">
        <f>"20228010201"</f>
        <v>20228010201</v>
      </c>
      <c r="B34" s="4" t="str">
        <f t="shared" si="0"/>
        <v>20220301</v>
      </c>
      <c r="C34" s="5">
        <v>0</v>
      </c>
      <c r="D34" s="5">
        <v>0</v>
      </c>
      <c r="E34" s="5">
        <v>0</v>
      </c>
    </row>
    <row r="35" spans="1:5">
      <c r="A35" s="4" t="str">
        <f>"20228010202"</f>
        <v>20228010202</v>
      </c>
      <c r="B35" s="4" t="str">
        <f t="shared" si="0"/>
        <v>20220301</v>
      </c>
      <c r="C35" s="5">
        <v>76</v>
      </c>
      <c r="D35" s="5">
        <v>77.8</v>
      </c>
      <c r="E35" s="5">
        <v>77.08</v>
      </c>
    </row>
    <row r="36" spans="1:5">
      <c r="A36" s="4" t="str">
        <f>"20228010203"</f>
        <v>20228010203</v>
      </c>
      <c r="B36" s="4" t="str">
        <f t="shared" si="0"/>
        <v>20220301</v>
      </c>
      <c r="C36" s="5">
        <v>88.1</v>
      </c>
      <c r="D36" s="5">
        <v>86.9</v>
      </c>
      <c r="E36" s="5">
        <v>87.38</v>
      </c>
    </row>
    <row r="37" spans="1:5">
      <c r="A37" s="4" t="str">
        <f>"20228010204"</f>
        <v>20228010204</v>
      </c>
      <c r="B37" s="4" t="str">
        <f t="shared" si="0"/>
        <v>20220301</v>
      </c>
      <c r="C37" s="5">
        <v>81.7</v>
      </c>
      <c r="D37" s="5">
        <v>90.8</v>
      </c>
      <c r="E37" s="5">
        <v>87.16</v>
      </c>
    </row>
    <row r="38" spans="1:5">
      <c r="A38" s="4" t="str">
        <f>"20228010205"</f>
        <v>20228010205</v>
      </c>
      <c r="B38" s="4" t="str">
        <f t="shared" si="0"/>
        <v>20220301</v>
      </c>
      <c r="C38" s="5">
        <v>80.7</v>
      </c>
      <c r="D38" s="5">
        <v>87.3</v>
      </c>
      <c r="E38" s="5">
        <v>84.66</v>
      </c>
    </row>
    <row r="39" spans="1:5">
      <c r="A39" s="4" t="str">
        <f>"20228010206"</f>
        <v>20228010206</v>
      </c>
      <c r="B39" s="4" t="str">
        <f t="shared" si="0"/>
        <v>20220301</v>
      </c>
      <c r="C39" s="5">
        <v>79</v>
      </c>
      <c r="D39" s="5">
        <v>88.4</v>
      </c>
      <c r="E39" s="5">
        <v>84.64</v>
      </c>
    </row>
    <row r="40" spans="1:5">
      <c r="A40" s="4" t="str">
        <f>"20228010207"</f>
        <v>20228010207</v>
      </c>
      <c r="B40" s="4" t="str">
        <f t="shared" si="0"/>
        <v>20220301</v>
      </c>
      <c r="C40" s="5">
        <v>0</v>
      </c>
      <c r="D40" s="5">
        <v>0</v>
      </c>
      <c r="E40" s="5">
        <v>0</v>
      </c>
    </row>
    <row r="41" spans="1:5">
      <c r="A41" s="4" t="str">
        <f>"20228010208"</f>
        <v>20228010208</v>
      </c>
      <c r="B41" s="4" t="str">
        <f t="shared" si="0"/>
        <v>20220301</v>
      </c>
      <c r="C41" s="5">
        <v>0</v>
      </c>
      <c r="D41" s="5">
        <v>0</v>
      </c>
      <c r="E41" s="5">
        <v>0</v>
      </c>
    </row>
    <row r="42" spans="1:5">
      <c r="A42" s="4" t="str">
        <f>"20228010209"</f>
        <v>20228010209</v>
      </c>
      <c r="B42" s="4" t="str">
        <f t="shared" si="0"/>
        <v>20220301</v>
      </c>
      <c r="C42" s="5">
        <v>100.4</v>
      </c>
      <c r="D42" s="5">
        <v>87</v>
      </c>
      <c r="E42" s="5">
        <v>92.36</v>
      </c>
    </row>
    <row r="43" spans="1:5">
      <c r="A43" s="4" t="str">
        <f>"20228010210"</f>
        <v>20228010210</v>
      </c>
      <c r="B43" s="4" t="str">
        <f t="shared" si="0"/>
        <v>20220301</v>
      </c>
      <c r="C43" s="5">
        <v>96.9</v>
      </c>
      <c r="D43" s="5">
        <v>90.2</v>
      </c>
      <c r="E43" s="5">
        <v>92.88</v>
      </c>
    </row>
    <row r="44" spans="1:5">
      <c r="A44" s="4" t="str">
        <f>"20228010211"</f>
        <v>20228010211</v>
      </c>
      <c r="B44" s="4" t="str">
        <f t="shared" si="0"/>
        <v>20220301</v>
      </c>
      <c r="C44" s="5">
        <v>97.7</v>
      </c>
      <c r="D44" s="5">
        <v>94.4</v>
      </c>
      <c r="E44" s="5">
        <v>95.72</v>
      </c>
    </row>
    <row r="45" spans="1:5">
      <c r="A45" s="4" t="str">
        <f>"20228010212"</f>
        <v>20228010212</v>
      </c>
      <c r="B45" s="4" t="str">
        <f t="shared" si="0"/>
        <v>20220301</v>
      </c>
      <c r="C45" s="5">
        <v>0</v>
      </c>
      <c r="D45" s="5">
        <v>0</v>
      </c>
      <c r="E45" s="5">
        <v>0</v>
      </c>
    </row>
    <row r="46" spans="1:5">
      <c r="A46" s="4" t="str">
        <f>"20228010213"</f>
        <v>20228010213</v>
      </c>
      <c r="B46" s="4" t="str">
        <f t="shared" si="0"/>
        <v>20220301</v>
      </c>
      <c r="C46" s="5">
        <v>0</v>
      </c>
      <c r="D46" s="5">
        <v>0</v>
      </c>
      <c r="E46" s="5">
        <v>0</v>
      </c>
    </row>
    <row r="47" spans="1:5">
      <c r="A47" s="4" t="str">
        <f>"20228010214"</f>
        <v>20228010214</v>
      </c>
      <c r="B47" s="4" t="str">
        <f t="shared" si="0"/>
        <v>20220301</v>
      </c>
      <c r="C47" s="5">
        <v>0</v>
      </c>
      <c r="D47" s="5">
        <v>0</v>
      </c>
      <c r="E47" s="5">
        <v>0</v>
      </c>
    </row>
    <row r="48" spans="1:5">
      <c r="A48" s="4" t="str">
        <f>"20228010215"</f>
        <v>20228010215</v>
      </c>
      <c r="B48" s="4" t="str">
        <f t="shared" si="0"/>
        <v>20220301</v>
      </c>
      <c r="C48" s="5">
        <v>0</v>
      </c>
      <c r="D48" s="5">
        <v>0</v>
      </c>
      <c r="E48" s="5">
        <v>0</v>
      </c>
    </row>
    <row r="49" spans="1:5">
      <c r="A49" s="4" t="str">
        <f>"20228010216"</f>
        <v>20228010216</v>
      </c>
      <c r="B49" s="4" t="str">
        <f t="shared" si="0"/>
        <v>20220301</v>
      </c>
      <c r="C49" s="5">
        <v>89.2</v>
      </c>
      <c r="D49" s="5">
        <v>89.8</v>
      </c>
      <c r="E49" s="5">
        <v>89.56</v>
      </c>
    </row>
    <row r="50" spans="1:5">
      <c r="A50" s="4" t="str">
        <f>"20228010217"</f>
        <v>20228010217</v>
      </c>
      <c r="B50" s="4" t="str">
        <f t="shared" si="0"/>
        <v>20220301</v>
      </c>
      <c r="C50" s="5">
        <v>0</v>
      </c>
      <c r="D50" s="5">
        <v>0</v>
      </c>
      <c r="E50" s="5">
        <v>0</v>
      </c>
    </row>
    <row r="51" spans="1:5">
      <c r="A51" s="4" t="str">
        <f>"20228010218"</f>
        <v>20228010218</v>
      </c>
      <c r="B51" s="4" t="str">
        <f t="shared" si="0"/>
        <v>20220301</v>
      </c>
      <c r="C51" s="5">
        <v>77.5</v>
      </c>
      <c r="D51" s="5">
        <v>78.4</v>
      </c>
      <c r="E51" s="5">
        <v>78.04</v>
      </c>
    </row>
    <row r="52" spans="1:5">
      <c r="A52" s="4" t="str">
        <f>"20228010219"</f>
        <v>20228010219</v>
      </c>
      <c r="B52" s="4" t="str">
        <f t="shared" si="0"/>
        <v>20220301</v>
      </c>
      <c r="C52" s="5">
        <v>0</v>
      </c>
      <c r="D52" s="5">
        <v>0</v>
      </c>
      <c r="E52" s="5">
        <v>0</v>
      </c>
    </row>
    <row r="53" spans="1:5">
      <c r="A53" s="4" t="str">
        <f>"20228010220"</f>
        <v>20228010220</v>
      </c>
      <c r="B53" s="4" t="str">
        <f t="shared" si="0"/>
        <v>20220301</v>
      </c>
      <c r="C53" s="5">
        <v>97.7</v>
      </c>
      <c r="D53" s="5">
        <v>86.1</v>
      </c>
      <c r="E53" s="5">
        <v>90.74</v>
      </c>
    </row>
    <row r="54" spans="1:5">
      <c r="A54" s="4" t="str">
        <f>"20228010221"</f>
        <v>20228010221</v>
      </c>
      <c r="B54" s="4" t="str">
        <f t="shared" si="0"/>
        <v>20220301</v>
      </c>
      <c r="C54" s="5">
        <v>90.2</v>
      </c>
      <c r="D54" s="5">
        <v>88.1</v>
      </c>
      <c r="E54" s="5">
        <v>88.94</v>
      </c>
    </row>
    <row r="55" spans="1:5">
      <c r="A55" s="4" t="str">
        <f>"20228010222"</f>
        <v>20228010222</v>
      </c>
      <c r="B55" s="4" t="str">
        <f t="shared" si="0"/>
        <v>20220301</v>
      </c>
      <c r="C55" s="5">
        <v>0</v>
      </c>
      <c r="D55" s="5">
        <v>0</v>
      </c>
      <c r="E55" s="5">
        <v>0</v>
      </c>
    </row>
    <row r="56" spans="1:5">
      <c r="A56" s="4" t="str">
        <f>"20228010223"</f>
        <v>20228010223</v>
      </c>
      <c r="B56" s="4" t="str">
        <f t="shared" si="0"/>
        <v>20220301</v>
      </c>
      <c r="C56" s="5">
        <v>90.5</v>
      </c>
      <c r="D56" s="5">
        <v>85.2</v>
      </c>
      <c r="E56" s="5">
        <v>87.32</v>
      </c>
    </row>
    <row r="57" spans="1:5">
      <c r="A57" s="4" t="str">
        <f>"20228010224"</f>
        <v>20228010224</v>
      </c>
      <c r="B57" s="4" t="str">
        <f t="shared" si="0"/>
        <v>20220301</v>
      </c>
      <c r="C57" s="5">
        <v>87.5</v>
      </c>
      <c r="D57" s="5">
        <v>84.7</v>
      </c>
      <c r="E57" s="5">
        <v>85.82</v>
      </c>
    </row>
    <row r="58" spans="1:5">
      <c r="A58" s="4" t="str">
        <f>"20228010225"</f>
        <v>20228010225</v>
      </c>
      <c r="B58" s="4" t="str">
        <f t="shared" si="0"/>
        <v>20220301</v>
      </c>
      <c r="C58" s="5">
        <v>92.8</v>
      </c>
      <c r="D58" s="5">
        <v>92.1</v>
      </c>
      <c r="E58" s="5">
        <v>92.38</v>
      </c>
    </row>
    <row r="59" spans="1:5">
      <c r="A59" s="4" t="str">
        <f>"20228010226"</f>
        <v>20228010226</v>
      </c>
      <c r="B59" s="4" t="str">
        <f t="shared" si="0"/>
        <v>20220301</v>
      </c>
      <c r="C59" s="5">
        <v>78.2</v>
      </c>
      <c r="D59" s="5">
        <v>86.7</v>
      </c>
      <c r="E59" s="5">
        <v>83.3</v>
      </c>
    </row>
    <row r="60" spans="1:5">
      <c r="A60" s="4" t="str">
        <f>"20228010227"</f>
        <v>20228010227</v>
      </c>
      <c r="B60" s="4" t="str">
        <f t="shared" si="0"/>
        <v>20220301</v>
      </c>
      <c r="C60" s="5">
        <v>96.3</v>
      </c>
      <c r="D60" s="5">
        <v>89.1</v>
      </c>
      <c r="E60" s="5">
        <v>91.98</v>
      </c>
    </row>
    <row r="61" spans="1:5">
      <c r="A61" s="4" t="str">
        <f>"20228010228"</f>
        <v>20228010228</v>
      </c>
      <c r="B61" s="4" t="str">
        <f t="shared" si="0"/>
        <v>20220301</v>
      </c>
      <c r="C61" s="5">
        <v>89.8</v>
      </c>
      <c r="D61" s="5">
        <v>83.9</v>
      </c>
      <c r="E61" s="5">
        <v>86.26</v>
      </c>
    </row>
    <row r="62" spans="1:5">
      <c r="A62" s="4" t="str">
        <f>"20228010229"</f>
        <v>20228010229</v>
      </c>
      <c r="B62" s="4" t="str">
        <f t="shared" si="0"/>
        <v>20220301</v>
      </c>
      <c r="C62" s="5">
        <v>97.2</v>
      </c>
      <c r="D62" s="5">
        <v>90.7</v>
      </c>
      <c r="E62" s="5">
        <v>93.3</v>
      </c>
    </row>
    <row r="63" spans="1:5">
      <c r="A63" s="4" t="str">
        <f>"20228010230"</f>
        <v>20228010230</v>
      </c>
      <c r="B63" s="4" t="str">
        <f t="shared" si="0"/>
        <v>20220301</v>
      </c>
      <c r="C63" s="5">
        <v>86.4</v>
      </c>
      <c r="D63" s="5">
        <v>88.1</v>
      </c>
      <c r="E63" s="5">
        <v>87.42</v>
      </c>
    </row>
    <row r="64" spans="1:5">
      <c r="A64" s="4" t="str">
        <f>"20228010301"</f>
        <v>20228010301</v>
      </c>
      <c r="B64" s="4" t="str">
        <f t="shared" si="0"/>
        <v>20220301</v>
      </c>
      <c r="C64" s="5">
        <v>100.9</v>
      </c>
      <c r="D64" s="5">
        <v>76.4</v>
      </c>
      <c r="E64" s="5">
        <v>86.2</v>
      </c>
    </row>
    <row r="65" spans="1:5">
      <c r="A65" s="4" t="str">
        <f>"20228010302"</f>
        <v>20228010302</v>
      </c>
      <c r="B65" s="4" t="str">
        <f t="shared" si="0"/>
        <v>20220301</v>
      </c>
      <c r="C65" s="5">
        <v>0</v>
      </c>
      <c r="D65" s="5">
        <v>0</v>
      </c>
      <c r="E65" s="5">
        <v>0</v>
      </c>
    </row>
    <row r="66" spans="1:5">
      <c r="A66" s="4" t="str">
        <f>"20228010303"</f>
        <v>20228010303</v>
      </c>
      <c r="B66" s="4" t="str">
        <f t="shared" si="0"/>
        <v>20220301</v>
      </c>
      <c r="C66" s="5">
        <v>84</v>
      </c>
      <c r="D66" s="5">
        <v>80.5</v>
      </c>
      <c r="E66" s="5">
        <v>81.9</v>
      </c>
    </row>
    <row r="67" spans="1:5">
      <c r="A67" s="4" t="str">
        <f>"20228010304"</f>
        <v>20228010304</v>
      </c>
      <c r="B67" s="4" t="str">
        <f t="shared" si="0"/>
        <v>20220301</v>
      </c>
      <c r="C67" s="5">
        <v>0</v>
      </c>
      <c r="D67" s="5">
        <v>0</v>
      </c>
      <c r="E67" s="5">
        <v>0</v>
      </c>
    </row>
    <row r="68" spans="1:5">
      <c r="A68" s="4" t="str">
        <f>"20228010305"</f>
        <v>20228010305</v>
      </c>
      <c r="B68" s="4" t="str">
        <f t="shared" ref="B68:B131" si="1">"20220301"</f>
        <v>20220301</v>
      </c>
      <c r="C68" s="5">
        <v>83.3</v>
      </c>
      <c r="D68" s="5">
        <v>89.3</v>
      </c>
      <c r="E68" s="5">
        <v>86.9</v>
      </c>
    </row>
    <row r="69" spans="1:5">
      <c r="A69" s="4" t="str">
        <f>"20228010306"</f>
        <v>20228010306</v>
      </c>
      <c r="B69" s="4" t="str">
        <f t="shared" si="1"/>
        <v>20220301</v>
      </c>
      <c r="C69" s="5">
        <v>0</v>
      </c>
      <c r="D69" s="5">
        <v>0</v>
      </c>
      <c r="E69" s="5">
        <v>0</v>
      </c>
    </row>
    <row r="70" spans="1:5">
      <c r="A70" s="4" t="str">
        <f>"20228010307"</f>
        <v>20228010307</v>
      </c>
      <c r="B70" s="4" t="str">
        <f t="shared" si="1"/>
        <v>20220301</v>
      </c>
      <c r="C70" s="5">
        <v>84</v>
      </c>
      <c r="D70" s="5">
        <v>87.3</v>
      </c>
      <c r="E70" s="5">
        <v>85.98</v>
      </c>
    </row>
    <row r="71" spans="1:5">
      <c r="A71" s="4" t="str">
        <f>"20228010308"</f>
        <v>20228010308</v>
      </c>
      <c r="B71" s="4" t="str">
        <f t="shared" si="1"/>
        <v>20220301</v>
      </c>
      <c r="C71" s="5">
        <v>91.6</v>
      </c>
      <c r="D71" s="5">
        <v>79.7</v>
      </c>
      <c r="E71" s="5">
        <v>84.46</v>
      </c>
    </row>
    <row r="72" spans="1:5">
      <c r="A72" s="4" t="str">
        <f>"20228010309"</f>
        <v>20228010309</v>
      </c>
      <c r="B72" s="4" t="str">
        <f t="shared" si="1"/>
        <v>20220301</v>
      </c>
      <c r="C72" s="5">
        <v>92</v>
      </c>
      <c r="D72" s="5">
        <v>83.5</v>
      </c>
      <c r="E72" s="5">
        <v>86.9</v>
      </c>
    </row>
    <row r="73" spans="1:5">
      <c r="A73" s="4" t="str">
        <f>"20228010310"</f>
        <v>20228010310</v>
      </c>
      <c r="B73" s="4" t="str">
        <f t="shared" si="1"/>
        <v>20220301</v>
      </c>
      <c r="C73" s="5">
        <v>0</v>
      </c>
      <c r="D73" s="5">
        <v>0</v>
      </c>
      <c r="E73" s="5">
        <v>0</v>
      </c>
    </row>
    <row r="74" spans="1:5">
      <c r="A74" s="4" t="str">
        <f>"20228010311"</f>
        <v>20228010311</v>
      </c>
      <c r="B74" s="4" t="str">
        <f t="shared" si="1"/>
        <v>20220301</v>
      </c>
      <c r="C74" s="5">
        <v>0</v>
      </c>
      <c r="D74" s="5">
        <v>0</v>
      </c>
      <c r="E74" s="5">
        <v>0</v>
      </c>
    </row>
    <row r="75" spans="1:5">
      <c r="A75" s="4" t="str">
        <f>"20228010312"</f>
        <v>20228010312</v>
      </c>
      <c r="B75" s="4" t="str">
        <f t="shared" si="1"/>
        <v>20220301</v>
      </c>
      <c r="C75" s="5">
        <v>90.1</v>
      </c>
      <c r="D75" s="5">
        <v>89.4</v>
      </c>
      <c r="E75" s="5">
        <v>89.68</v>
      </c>
    </row>
    <row r="76" spans="1:5">
      <c r="A76" s="4" t="str">
        <f>"20228010313"</f>
        <v>20228010313</v>
      </c>
      <c r="B76" s="4" t="str">
        <f t="shared" si="1"/>
        <v>20220301</v>
      </c>
      <c r="C76" s="5">
        <v>0</v>
      </c>
      <c r="D76" s="5">
        <v>0</v>
      </c>
      <c r="E76" s="5">
        <v>0</v>
      </c>
    </row>
    <row r="77" spans="1:5">
      <c r="A77" s="4" t="str">
        <f>"20228010314"</f>
        <v>20228010314</v>
      </c>
      <c r="B77" s="4" t="str">
        <f t="shared" si="1"/>
        <v>20220301</v>
      </c>
      <c r="C77" s="5">
        <v>77.9</v>
      </c>
      <c r="D77" s="5">
        <v>79.8</v>
      </c>
      <c r="E77" s="5">
        <v>79.04</v>
      </c>
    </row>
    <row r="78" spans="1:5">
      <c r="A78" s="4" t="str">
        <f>"20228010315"</f>
        <v>20228010315</v>
      </c>
      <c r="B78" s="4" t="str">
        <f t="shared" si="1"/>
        <v>20220301</v>
      </c>
      <c r="C78" s="5">
        <v>103.6</v>
      </c>
      <c r="D78" s="5">
        <v>86.2</v>
      </c>
      <c r="E78" s="5">
        <v>93.16</v>
      </c>
    </row>
    <row r="79" spans="1:5">
      <c r="A79" s="4" t="str">
        <f>"20228010316"</f>
        <v>20228010316</v>
      </c>
      <c r="B79" s="4" t="str">
        <f t="shared" si="1"/>
        <v>20220301</v>
      </c>
      <c r="C79" s="5">
        <v>75</v>
      </c>
      <c r="D79" s="5">
        <v>71.6</v>
      </c>
      <c r="E79" s="5">
        <v>72.96</v>
      </c>
    </row>
    <row r="80" spans="1:5">
      <c r="A80" s="4" t="str">
        <f>"20228010317"</f>
        <v>20228010317</v>
      </c>
      <c r="B80" s="4" t="str">
        <f t="shared" si="1"/>
        <v>20220301</v>
      </c>
      <c r="C80" s="5">
        <v>0</v>
      </c>
      <c r="D80" s="5">
        <v>0</v>
      </c>
      <c r="E80" s="5">
        <v>0</v>
      </c>
    </row>
    <row r="81" spans="1:5">
      <c r="A81" s="4" t="str">
        <f>"20228010318"</f>
        <v>20228010318</v>
      </c>
      <c r="B81" s="4" t="str">
        <f t="shared" si="1"/>
        <v>20220301</v>
      </c>
      <c r="C81" s="5">
        <v>72.3</v>
      </c>
      <c r="D81" s="5">
        <v>81.3</v>
      </c>
      <c r="E81" s="5">
        <v>77.7</v>
      </c>
    </row>
    <row r="82" spans="1:5">
      <c r="A82" s="4" t="str">
        <f>"20228010319"</f>
        <v>20228010319</v>
      </c>
      <c r="B82" s="4" t="str">
        <f t="shared" si="1"/>
        <v>20220301</v>
      </c>
      <c r="C82" s="5">
        <v>94</v>
      </c>
      <c r="D82" s="5">
        <v>74</v>
      </c>
      <c r="E82" s="5">
        <v>82</v>
      </c>
    </row>
    <row r="83" spans="1:5">
      <c r="A83" s="4" t="str">
        <f>"20228010320"</f>
        <v>20228010320</v>
      </c>
      <c r="B83" s="4" t="str">
        <f t="shared" si="1"/>
        <v>20220301</v>
      </c>
      <c r="C83" s="5">
        <v>102.3</v>
      </c>
      <c r="D83" s="5">
        <v>87.2</v>
      </c>
      <c r="E83" s="5">
        <v>93.24</v>
      </c>
    </row>
    <row r="84" spans="1:5">
      <c r="A84" s="4" t="str">
        <f>"20228010321"</f>
        <v>20228010321</v>
      </c>
      <c r="B84" s="4" t="str">
        <f t="shared" si="1"/>
        <v>20220301</v>
      </c>
      <c r="C84" s="5">
        <v>93.9</v>
      </c>
      <c r="D84" s="5">
        <v>86.5</v>
      </c>
      <c r="E84" s="5">
        <v>89.46</v>
      </c>
    </row>
    <row r="85" spans="1:5">
      <c r="A85" s="4" t="str">
        <f>"20228010322"</f>
        <v>20228010322</v>
      </c>
      <c r="B85" s="4" t="str">
        <f t="shared" si="1"/>
        <v>20220301</v>
      </c>
      <c r="C85" s="5">
        <v>0</v>
      </c>
      <c r="D85" s="5">
        <v>0</v>
      </c>
      <c r="E85" s="5">
        <v>0</v>
      </c>
    </row>
    <row r="86" spans="1:5">
      <c r="A86" s="4" t="str">
        <f>"20228010323"</f>
        <v>20228010323</v>
      </c>
      <c r="B86" s="4" t="str">
        <f t="shared" si="1"/>
        <v>20220301</v>
      </c>
      <c r="C86" s="5">
        <v>0</v>
      </c>
      <c r="D86" s="5">
        <v>0</v>
      </c>
      <c r="E86" s="5">
        <v>0</v>
      </c>
    </row>
    <row r="87" spans="1:5">
      <c r="A87" s="4" t="str">
        <f>"20228010324"</f>
        <v>20228010324</v>
      </c>
      <c r="B87" s="4" t="str">
        <f t="shared" si="1"/>
        <v>20220301</v>
      </c>
      <c r="C87" s="5">
        <v>87.4</v>
      </c>
      <c r="D87" s="5">
        <v>88.8</v>
      </c>
      <c r="E87" s="5">
        <v>88.24</v>
      </c>
    </row>
    <row r="88" spans="1:5">
      <c r="A88" s="4" t="str">
        <f>"20228010325"</f>
        <v>20228010325</v>
      </c>
      <c r="B88" s="4" t="str">
        <f t="shared" si="1"/>
        <v>20220301</v>
      </c>
      <c r="C88" s="5">
        <v>0</v>
      </c>
      <c r="D88" s="5">
        <v>0</v>
      </c>
      <c r="E88" s="5">
        <v>0</v>
      </c>
    </row>
    <row r="89" spans="1:5">
      <c r="A89" s="4" t="str">
        <f>"20228010326"</f>
        <v>20228010326</v>
      </c>
      <c r="B89" s="4" t="str">
        <f t="shared" si="1"/>
        <v>20220301</v>
      </c>
      <c r="C89" s="5">
        <v>75.6</v>
      </c>
      <c r="D89" s="5">
        <v>78.4</v>
      </c>
      <c r="E89" s="5">
        <v>77.28</v>
      </c>
    </row>
    <row r="90" spans="1:5">
      <c r="A90" s="4" t="str">
        <f>"20228010327"</f>
        <v>20228010327</v>
      </c>
      <c r="B90" s="4" t="str">
        <f t="shared" si="1"/>
        <v>20220301</v>
      </c>
      <c r="C90" s="5">
        <v>0</v>
      </c>
      <c r="D90" s="5">
        <v>0</v>
      </c>
      <c r="E90" s="5">
        <v>0</v>
      </c>
    </row>
    <row r="91" spans="1:5">
      <c r="A91" s="4" t="str">
        <f>"20228010328"</f>
        <v>20228010328</v>
      </c>
      <c r="B91" s="4" t="str">
        <f t="shared" si="1"/>
        <v>20220301</v>
      </c>
      <c r="C91" s="5">
        <v>0</v>
      </c>
      <c r="D91" s="5">
        <v>0</v>
      </c>
      <c r="E91" s="5">
        <v>0</v>
      </c>
    </row>
    <row r="92" spans="1:5">
      <c r="A92" s="4" t="str">
        <f>"20228010329"</f>
        <v>20228010329</v>
      </c>
      <c r="B92" s="4" t="str">
        <f t="shared" si="1"/>
        <v>20220301</v>
      </c>
      <c r="C92" s="5">
        <v>68.4</v>
      </c>
      <c r="D92" s="5">
        <v>84.2</v>
      </c>
      <c r="E92" s="5">
        <v>77.88</v>
      </c>
    </row>
    <row r="93" spans="1:5">
      <c r="A93" s="4" t="str">
        <f>"20228010330"</f>
        <v>20228010330</v>
      </c>
      <c r="B93" s="4" t="str">
        <f t="shared" si="1"/>
        <v>20220301</v>
      </c>
      <c r="C93" s="5">
        <v>98.3</v>
      </c>
      <c r="D93" s="5">
        <v>85.9</v>
      </c>
      <c r="E93" s="5">
        <v>90.86</v>
      </c>
    </row>
    <row r="94" spans="1:5">
      <c r="A94" s="4" t="str">
        <f>"20228010401"</f>
        <v>20228010401</v>
      </c>
      <c r="B94" s="4" t="str">
        <f t="shared" si="1"/>
        <v>20220301</v>
      </c>
      <c r="C94" s="5">
        <v>94.6</v>
      </c>
      <c r="D94" s="5">
        <v>83.6</v>
      </c>
      <c r="E94" s="5">
        <v>88</v>
      </c>
    </row>
    <row r="95" spans="1:5">
      <c r="A95" s="4" t="str">
        <f>"20228010402"</f>
        <v>20228010402</v>
      </c>
      <c r="B95" s="4" t="str">
        <f t="shared" si="1"/>
        <v>20220301</v>
      </c>
      <c r="C95" s="5">
        <v>80.1</v>
      </c>
      <c r="D95" s="5">
        <v>82.1</v>
      </c>
      <c r="E95" s="5">
        <v>81.3</v>
      </c>
    </row>
    <row r="96" spans="1:5">
      <c r="A96" s="4" t="str">
        <f>"20228010403"</f>
        <v>20228010403</v>
      </c>
      <c r="B96" s="4" t="str">
        <f t="shared" si="1"/>
        <v>20220301</v>
      </c>
      <c r="C96" s="5">
        <v>92.1</v>
      </c>
      <c r="D96" s="5">
        <v>86.3</v>
      </c>
      <c r="E96" s="5">
        <v>88.62</v>
      </c>
    </row>
    <row r="97" spans="1:5">
      <c r="A97" s="4" t="str">
        <f>"20228010404"</f>
        <v>20228010404</v>
      </c>
      <c r="B97" s="4" t="str">
        <f t="shared" si="1"/>
        <v>20220301</v>
      </c>
      <c r="C97" s="5">
        <v>0</v>
      </c>
      <c r="D97" s="5">
        <v>0</v>
      </c>
      <c r="E97" s="5">
        <v>0</v>
      </c>
    </row>
    <row r="98" spans="1:5">
      <c r="A98" s="4" t="str">
        <f>"20228010405"</f>
        <v>20228010405</v>
      </c>
      <c r="B98" s="4" t="str">
        <f t="shared" si="1"/>
        <v>20220301</v>
      </c>
      <c r="C98" s="5">
        <v>0</v>
      </c>
      <c r="D98" s="5">
        <v>0</v>
      </c>
      <c r="E98" s="5">
        <v>0</v>
      </c>
    </row>
    <row r="99" spans="1:5">
      <c r="A99" s="4" t="str">
        <f>"20228010406"</f>
        <v>20228010406</v>
      </c>
      <c r="B99" s="4" t="str">
        <f t="shared" si="1"/>
        <v>20220301</v>
      </c>
      <c r="C99" s="5">
        <v>84.9</v>
      </c>
      <c r="D99" s="5">
        <v>84.9</v>
      </c>
      <c r="E99" s="5">
        <v>84.9</v>
      </c>
    </row>
    <row r="100" spans="1:5">
      <c r="A100" s="4" t="str">
        <f>"20228010407"</f>
        <v>20228010407</v>
      </c>
      <c r="B100" s="4" t="str">
        <f t="shared" si="1"/>
        <v>20220301</v>
      </c>
      <c r="C100" s="5">
        <v>88</v>
      </c>
      <c r="D100" s="5">
        <v>85.2</v>
      </c>
      <c r="E100" s="5">
        <v>86.32</v>
      </c>
    </row>
    <row r="101" spans="1:5">
      <c r="A101" s="4" t="str">
        <f>"20228010408"</f>
        <v>20228010408</v>
      </c>
      <c r="B101" s="4" t="str">
        <f t="shared" si="1"/>
        <v>20220301</v>
      </c>
      <c r="C101" s="5">
        <v>95</v>
      </c>
      <c r="D101" s="5">
        <v>87.6</v>
      </c>
      <c r="E101" s="5">
        <v>90.56</v>
      </c>
    </row>
    <row r="102" spans="1:5">
      <c r="A102" s="4" t="str">
        <f>"20228010409"</f>
        <v>20228010409</v>
      </c>
      <c r="B102" s="4" t="str">
        <f t="shared" si="1"/>
        <v>20220301</v>
      </c>
      <c r="C102" s="5">
        <v>79.5</v>
      </c>
      <c r="D102" s="5">
        <v>83.9</v>
      </c>
      <c r="E102" s="5">
        <v>82.14</v>
      </c>
    </row>
    <row r="103" spans="1:5">
      <c r="A103" s="4" t="str">
        <f>"20228010410"</f>
        <v>20228010410</v>
      </c>
      <c r="B103" s="4" t="str">
        <f t="shared" si="1"/>
        <v>20220301</v>
      </c>
      <c r="C103" s="5">
        <v>0</v>
      </c>
      <c r="D103" s="5">
        <v>0</v>
      </c>
      <c r="E103" s="5">
        <v>0</v>
      </c>
    </row>
    <row r="104" spans="1:5">
      <c r="A104" s="4" t="str">
        <f>"20228010411"</f>
        <v>20228010411</v>
      </c>
      <c r="B104" s="4" t="str">
        <f t="shared" si="1"/>
        <v>20220301</v>
      </c>
      <c r="C104" s="5">
        <v>0</v>
      </c>
      <c r="D104" s="5">
        <v>0</v>
      </c>
      <c r="E104" s="5">
        <v>0</v>
      </c>
    </row>
    <row r="105" spans="1:5">
      <c r="A105" s="4" t="str">
        <f>"20228010412"</f>
        <v>20228010412</v>
      </c>
      <c r="B105" s="4" t="str">
        <f t="shared" si="1"/>
        <v>20220301</v>
      </c>
      <c r="C105" s="5">
        <v>0</v>
      </c>
      <c r="D105" s="5">
        <v>0</v>
      </c>
      <c r="E105" s="5">
        <v>0</v>
      </c>
    </row>
    <row r="106" spans="1:5">
      <c r="A106" s="4" t="str">
        <f>"20228010413"</f>
        <v>20228010413</v>
      </c>
      <c r="B106" s="4" t="str">
        <f t="shared" si="1"/>
        <v>20220301</v>
      </c>
      <c r="C106" s="5">
        <v>0</v>
      </c>
      <c r="D106" s="5">
        <v>0</v>
      </c>
      <c r="E106" s="5">
        <v>0</v>
      </c>
    </row>
    <row r="107" spans="1:5">
      <c r="A107" s="4" t="str">
        <f>"20228010414"</f>
        <v>20228010414</v>
      </c>
      <c r="B107" s="4" t="str">
        <f t="shared" si="1"/>
        <v>20220301</v>
      </c>
      <c r="C107" s="5">
        <v>0</v>
      </c>
      <c r="D107" s="5">
        <v>0</v>
      </c>
      <c r="E107" s="5">
        <v>0</v>
      </c>
    </row>
    <row r="108" spans="1:5">
      <c r="A108" s="4" t="str">
        <f>"20228010415"</f>
        <v>20228010415</v>
      </c>
      <c r="B108" s="4" t="str">
        <f t="shared" si="1"/>
        <v>20220301</v>
      </c>
      <c r="C108" s="5">
        <v>75</v>
      </c>
      <c r="D108" s="5">
        <v>83</v>
      </c>
      <c r="E108" s="5">
        <v>79.8</v>
      </c>
    </row>
    <row r="109" spans="1:5">
      <c r="A109" s="4" t="str">
        <f>"20228010416"</f>
        <v>20228010416</v>
      </c>
      <c r="B109" s="4" t="str">
        <f t="shared" si="1"/>
        <v>20220301</v>
      </c>
      <c r="C109" s="5">
        <v>89.5</v>
      </c>
      <c r="D109" s="5">
        <v>86.7</v>
      </c>
      <c r="E109" s="5">
        <v>87.82</v>
      </c>
    </row>
    <row r="110" spans="1:5">
      <c r="A110" s="4" t="str">
        <f>"20228010417"</f>
        <v>20228010417</v>
      </c>
      <c r="B110" s="4" t="str">
        <f t="shared" si="1"/>
        <v>20220301</v>
      </c>
      <c r="C110" s="5">
        <v>85.5</v>
      </c>
      <c r="D110" s="5">
        <v>84.3</v>
      </c>
      <c r="E110" s="5">
        <v>84.78</v>
      </c>
    </row>
    <row r="111" spans="1:5">
      <c r="A111" s="4" t="str">
        <f>"20228010418"</f>
        <v>20228010418</v>
      </c>
      <c r="B111" s="4" t="str">
        <f t="shared" si="1"/>
        <v>20220301</v>
      </c>
      <c r="C111" s="5">
        <v>99.7</v>
      </c>
      <c r="D111" s="5">
        <v>88.2</v>
      </c>
      <c r="E111" s="5">
        <v>92.8</v>
      </c>
    </row>
    <row r="112" spans="1:5">
      <c r="A112" s="4" t="str">
        <f>"20228010419"</f>
        <v>20228010419</v>
      </c>
      <c r="B112" s="4" t="str">
        <f t="shared" si="1"/>
        <v>20220301</v>
      </c>
      <c r="C112" s="5">
        <v>94.7</v>
      </c>
      <c r="D112" s="5">
        <v>88.3</v>
      </c>
      <c r="E112" s="5">
        <v>90.86</v>
      </c>
    </row>
    <row r="113" spans="1:5">
      <c r="A113" s="4" t="str">
        <f>"20228010420"</f>
        <v>20228010420</v>
      </c>
      <c r="B113" s="4" t="str">
        <f t="shared" si="1"/>
        <v>20220301</v>
      </c>
      <c r="C113" s="5">
        <v>0</v>
      </c>
      <c r="D113" s="5">
        <v>0</v>
      </c>
      <c r="E113" s="5">
        <v>0</v>
      </c>
    </row>
    <row r="114" spans="1:5">
      <c r="A114" s="4" t="str">
        <f>"20228010421"</f>
        <v>20228010421</v>
      </c>
      <c r="B114" s="4" t="str">
        <f t="shared" si="1"/>
        <v>20220301</v>
      </c>
      <c r="C114" s="5">
        <v>0</v>
      </c>
      <c r="D114" s="5">
        <v>0</v>
      </c>
      <c r="E114" s="5">
        <v>0</v>
      </c>
    </row>
    <row r="115" spans="1:5">
      <c r="A115" s="4" t="str">
        <f>"20228010422"</f>
        <v>20228010422</v>
      </c>
      <c r="B115" s="4" t="str">
        <f t="shared" si="1"/>
        <v>20220301</v>
      </c>
      <c r="C115" s="5">
        <v>0</v>
      </c>
      <c r="D115" s="5">
        <v>0</v>
      </c>
      <c r="E115" s="5">
        <v>0</v>
      </c>
    </row>
    <row r="116" spans="1:5">
      <c r="A116" s="4" t="str">
        <f>"20228010423"</f>
        <v>20228010423</v>
      </c>
      <c r="B116" s="4" t="str">
        <f t="shared" si="1"/>
        <v>20220301</v>
      </c>
      <c r="C116" s="5">
        <v>86.4</v>
      </c>
      <c r="D116" s="5">
        <v>78</v>
      </c>
      <c r="E116" s="5">
        <v>81.36</v>
      </c>
    </row>
    <row r="117" spans="1:5">
      <c r="A117" s="4" t="str">
        <f>"20228010424"</f>
        <v>20228010424</v>
      </c>
      <c r="B117" s="4" t="str">
        <f t="shared" si="1"/>
        <v>20220301</v>
      </c>
      <c r="C117" s="5">
        <v>68.3</v>
      </c>
      <c r="D117" s="5">
        <v>73</v>
      </c>
      <c r="E117" s="5">
        <v>71.12</v>
      </c>
    </row>
    <row r="118" spans="1:5">
      <c r="A118" s="4" t="str">
        <f>"20228010425"</f>
        <v>20228010425</v>
      </c>
      <c r="B118" s="4" t="str">
        <f t="shared" si="1"/>
        <v>20220301</v>
      </c>
      <c r="C118" s="5">
        <v>103.4</v>
      </c>
      <c r="D118" s="5">
        <v>93.1</v>
      </c>
      <c r="E118" s="5">
        <v>97.22</v>
      </c>
    </row>
    <row r="119" spans="1:5">
      <c r="A119" s="4" t="str">
        <f>"20228010426"</f>
        <v>20228010426</v>
      </c>
      <c r="B119" s="4" t="str">
        <f t="shared" si="1"/>
        <v>20220301</v>
      </c>
      <c r="C119" s="5">
        <v>96.9</v>
      </c>
      <c r="D119" s="5">
        <v>85.9</v>
      </c>
      <c r="E119" s="5">
        <v>90.3</v>
      </c>
    </row>
    <row r="120" spans="1:5">
      <c r="A120" s="4" t="str">
        <f>"20228010427"</f>
        <v>20228010427</v>
      </c>
      <c r="B120" s="4" t="str">
        <f t="shared" si="1"/>
        <v>20220301</v>
      </c>
      <c r="C120" s="5">
        <v>0</v>
      </c>
      <c r="D120" s="5">
        <v>0</v>
      </c>
      <c r="E120" s="5">
        <v>0</v>
      </c>
    </row>
    <row r="121" spans="1:5">
      <c r="A121" s="4" t="str">
        <f>"20228010428"</f>
        <v>20228010428</v>
      </c>
      <c r="B121" s="4" t="str">
        <f t="shared" si="1"/>
        <v>20220301</v>
      </c>
      <c r="C121" s="5">
        <v>0</v>
      </c>
      <c r="D121" s="5">
        <v>0</v>
      </c>
      <c r="E121" s="5">
        <v>0</v>
      </c>
    </row>
    <row r="122" spans="1:5">
      <c r="A122" s="4" t="str">
        <f>"20228010429"</f>
        <v>20228010429</v>
      </c>
      <c r="B122" s="4" t="str">
        <f t="shared" si="1"/>
        <v>20220301</v>
      </c>
      <c r="C122" s="5">
        <v>99.9</v>
      </c>
      <c r="D122" s="5">
        <v>96.4</v>
      </c>
      <c r="E122" s="5">
        <v>97.8</v>
      </c>
    </row>
    <row r="123" spans="1:5">
      <c r="A123" s="4" t="str">
        <f>"20228010430"</f>
        <v>20228010430</v>
      </c>
      <c r="B123" s="4" t="str">
        <f t="shared" si="1"/>
        <v>20220301</v>
      </c>
      <c r="C123" s="5">
        <v>89.4</v>
      </c>
      <c r="D123" s="5">
        <v>81.8</v>
      </c>
      <c r="E123" s="5">
        <v>84.84</v>
      </c>
    </row>
    <row r="124" spans="1:5">
      <c r="A124" s="4" t="str">
        <f>"20228010501"</f>
        <v>20228010501</v>
      </c>
      <c r="B124" s="4" t="str">
        <f t="shared" si="1"/>
        <v>20220301</v>
      </c>
      <c r="C124" s="5">
        <v>0</v>
      </c>
      <c r="D124" s="5">
        <v>0</v>
      </c>
      <c r="E124" s="5">
        <v>0</v>
      </c>
    </row>
    <row r="125" spans="1:5">
      <c r="A125" s="4" t="str">
        <f>"20228010502"</f>
        <v>20228010502</v>
      </c>
      <c r="B125" s="4" t="str">
        <f t="shared" si="1"/>
        <v>20220301</v>
      </c>
      <c r="C125" s="5">
        <v>94.1</v>
      </c>
      <c r="D125" s="5">
        <v>80</v>
      </c>
      <c r="E125" s="5">
        <v>85.64</v>
      </c>
    </row>
    <row r="126" spans="1:5">
      <c r="A126" s="4" t="str">
        <f>"20228010503"</f>
        <v>20228010503</v>
      </c>
      <c r="B126" s="4" t="str">
        <f t="shared" si="1"/>
        <v>20220301</v>
      </c>
      <c r="C126" s="5">
        <v>87.8</v>
      </c>
      <c r="D126" s="5">
        <v>80.5</v>
      </c>
      <c r="E126" s="5">
        <v>83.42</v>
      </c>
    </row>
    <row r="127" spans="1:5">
      <c r="A127" s="4" t="str">
        <f>"20228010504"</f>
        <v>20228010504</v>
      </c>
      <c r="B127" s="4" t="str">
        <f t="shared" si="1"/>
        <v>20220301</v>
      </c>
      <c r="C127" s="5">
        <v>72.4</v>
      </c>
      <c r="D127" s="5">
        <v>71.5</v>
      </c>
      <c r="E127" s="5">
        <v>71.86</v>
      </c>
    </row>
    <row r="128" spans="1:5">
      <c r="A128" s="4" t="str">
        <f>"20228010505"</f>
        <v>20228010505</v>
      </c>
      <c r="B128" s="4" t="str">
        <f t="shared" si="1"/>
        <v>20220301</v>
      </c>
      <c r="C128" s="5">
        <v>79.9</v>
      </c>
      <c r="D128" s="5">
        <v>83</v>
      </c>
      <c r="E128" s="5">
        <v>81.76</v>
      </c>
    </row>
    <row r="129" spans="1:5">
      <c r="A129" s="4" t="str">
        <f>"20228010506"</f>
        <v>20228010506</v>
      </c>
      <c r="B129" s="4" t="str">
        <f t="shared" si="1"/>
        <v>20220301</v>
      </c>
      <c r="C129" s="5">
        <v>88</v>
      </c>
      <c r="D129" s="5">
        <v>86.4</v>
      </c>
      <c r="E129" s="5">
        <v>87.04</v>
      </c>
    </row>
    <row r="130" spans="1:5">
      <c r="A130" s="4" t="str">
        <f>"20228010507"</f>
        <v>20228010507</v>
      </c>
      <c r="B130" s="4" t="str">
        <f t="shared" si="1"/>
        <v>20220301</v>
      </c>
      <c r="C130" s="5">
        <v>82.7</v>
      </c>
      <c r="D130" s="5">
        <v>87.2</v>
      </c>
      <c r="E130" s="5">
        <v>85.4</v>
      </c>
    </row>
    <row r="131" spans="1:5">
      <c r="A131" s="4" t="str">
        <f>"20228010508"</f>
        <v>20228010508</v>
      </c>
      <c r="B131" s="4" t="str">
        <f t="shared" si="1"/>
        <v>20220301</v>
      </c>
      <c r="C131" s="5">
        <v>94.3</v>
      </c>
      <c r="D131" s="5">
        <v>82.6</v>
      </c>
      <c r="E131" s="5">
        <v>87.28</v>
      </c>
    </row>
    <row r="132" spans="1:5">
      <c r="A132" s="4" t="str">
        <f>"20228010509"</f>
        <v>20228010509</v>
      </c>
      <c r="B132" s="4" t="str">
        <f t="shared" ref="B132:B195" si="2">"20220301"</f>
        <v>20220301</v>
      </c>
      <c r="C132" s="5">
        <v>0</v>
      </c>
      <c r="D132" s="5">
        <v>0</v>
      </c>
      <c r="E132" s="5">
        <v>0</v>
      </c>
    </row>
    <row r="133" spans="1:5">
      <c r="A133" s="4" t="str">
        <f>"20228010510"</f>
        <v>20228010510</v>
      </c>
      <c r="B133" s="4" t="str">
        <f t="shared" si="2"/>
        <v>20220301</v>
      </c>
      <c r="C133" s="5">
        <v>96</v>
      </c>
      <c r="D133" s="5">
        <v>84.3</v>
      </c>
      <c r="E133" s="5">
        <v>88.98</v>
      </c>
    </row>
    <row r="134" spans="1:5">
      <c r="A134" s="4" t="str">
        <f>"20228010511"</f>
        <v>20228010511</v>
      </c>
      <c r="B134" s="4" t="str">
        <f t="shared" si="2"/>
        <v>20220301</v>
      </c>
      <c r="C134" s="5">
        <v>88.6</v>
      </c>
      <c r="D134" s="5">
        <v>89</v>
      </c>
      <c r="E134" s="5">
        <v>88.84</v>
      </c>
    </row>
    <row r="135" spans="1:5">
      <c r="A135" s="4" t="str">
        <f>"20228010512"</f>
        <v>20228010512</v>
      </c>
      <c r="B135" s="4" t="str">
        <f t="shared" si="2"/>
        <v>20220301</v>
      </c>
      <c r="C135" s="5">
        <v>0</v>
      </c>
      <c r="D135" s="5">
        <v>0</v>
      </c>
      <c r="E135" s="5">
        <v>0</v>
      </c>
    </row>
    <row r="136" spans="1:5">
      <c r="A136" s="4" t="str">
        <f>"20228010513"</f>
        <v>20228010513</v>
      </c>
      <c r="B136" s="4" t="str">
        <f t="shared" si="2"/>
        <v>20220301</v>
      </c>
      <c r="C136" s="5">
        <v>87.7</v>
      </c>
      <c r="D136" s="5">
        <v>90</v>
      </c>
      <c r="E136" s="5">
        <v>89.08</v>
      </c>
    </row>
    <row r="137" spans="1:5">
      <c r="A137" s="4" t="str">
        <f>"20228010514"</f>
        <v>20228010514</v>
      </c>
      <c r="B137" s="4" t="str">
        <f t="shared" si="2"/>
        <v>20220301</v>
      </c>
      <c r="C137" s="5">
        <v>77.1</v>
      </c>
      <c r="D137" s="5">
        <v>81.6</v>
      </c>
      <c r="E137" s="5">
        <v>79.8</v>
      </c>
    </row>
    <row r="138" spans="1:5">
      <c r="A138" s="4" t="str">
        <f>"20228010515"</f>
        <v>20228010515</v>
      </c>
      <c r="B138" s="4" t="str">
        <f t="shared" si="2"/>
        <v>20220301</v>
      </c>
      <c r="C138" s="5">
        <v>94.2</v>
      </c>
      <c r="D138" s="5">
        <v>91.3</v>
      </c>
      <c r="E138" s="5">
        <v>92.46</v>
      </c>
    </row>
    <row r="139" spans="1:5">
      <c r="A139" s="4" t="str">
        <f>"20228010516"</f>
        <v>20228010516</v>
      </c>
      <c r="B139" s="4" t="str">
        <f t="shared" si="2"/>
        <v>20220301</v>
      </c>
      <c r="C139" s="5">
        <v>0</v>
      </c>
      <c r="D139" s="5">
        <v>0</v>
      </c>
      <c r="E139" s="5">
        <v>0</v>
      </c>
    </row>
    <row r="140" spans="1:5">
      <c r="A140" s="4" t="str">
        <f>"20228010517"</f>
        <v>20228010517</v>
      </c>
      <c r="B140" s="4" t="str">
        <f t="shared" si="2"/>
        <v>20220301</v>
      </c>
      <c r="C140" s="5">
        <v>0</v>
      </c>
      <c r="D140" s="5">
        <v>0</v>
      </c>
      <c r="E140" s="5">
        <v>0</v>
      </c>
    </row>
    <row r="141" spans="1:5">
      <c r="A141" s="4" t="str">
        <f>"20228010518"</f>
        <v>20228010518</v>
      </c>
      <c r="B141" s="4" t="str">
        <f t="shared" si="2"/>
        <v>20220301</v>
      </c>
      <c r="C141" s="5">
        <v>94.6</v>
      </c>
      <c r="D141" s="5">
        <v>80.9</v>
      </c>
      <c r="E141" s="5">
        <v>86.38</v>
      </c>
    </row>
    <row r="142" spans="1:5">
      <c r="A142" s="4" t="str">
        <f>"20228010519"</f>
        <v>20228010519</v>
      </c>
      <c r="B142" s="4" t="str">
        <f t="shared" si="2"/>
        <v>20220301</v>
      </c>
      <c r="C142" s="5">
        <v>0</v>
      </c>
      <c r="D142" s="5">
        <v>0</v>
      </c>
      <c r="E142" s="5">
        <v>0</v>
      </c>
    </row>
    <row r="143" spans="1:5">
      <c r="A143" s="4" t="str">
        <f>"20228010520"</f>
        <v>20228010520</v>
      </c>
      <c r="B143" s="4" t="str">
        <f t="shared" si="2"/>
        <v>20220301</v>
      </c>
      <c r="C143" s="5">
        <v>0</v>
      </c>
      <c r="D143" s="5">
        <v>0</v>
      </c>
      <c r="E143" s="5">
        <v>0</v>
      </c>
    </row>
    <row r="144" spans="1:5">
      <c r="A144" s="4" t="str">
        <f>"20228010521"</f>
        <v>20228010521</v>
      </c>
      <c r="B144" s="4" t="str">
        <f t="shared" si="2"/>
        <v>20220301</v>
      </c>
      <c r="C144" s="5">
        <v>0</v>
      </c>
      <c r="D144" s="5">
        <v>0</v>
      </c>
      <c r="E144" s="5">
        <v>0</v>
      </c>
    </row>
    <row r="145" spans="1:5">
      <c r="A145" s="4" t="str">
        <f>"20228010522"</f>
        <v>20228010522</v>
      </c>
      <c r="B145" s="4" t="str">
        <f t="shared" si="2"/>
        <v>20220301</v>
      </c>
      <c r="C145" s="5">
        <v>0</v>
      </c>
      <c r="D145" s="5">
        <v>0</v>
      </c>
      <c r="E145" s="5">
        <v>0</v>
      </c>
    </row>
    <row r="146" spans="1:5">
      <c r="A146" s="4" t="str">
        <f>"20228010523"</f>
        <v>20228010523</v>
      </c>
      <c r="B146" s="4" t="str">
        <f t="shared" si="2"/>
        <v>20220301</v>
      </c>
      <c r="C146" s="5">
        <v>86.7</v>
      </c>
      <c r="D146" s="5">
        <v>75.8</v>
      </c>
      <c r="E146" s="5">
        <v>80.16</v>
      </c>
    </row>
    <row r="147" spans="1:5">
      <c r="A147" s="4" t="str">
        <f>"20228010524"</f>
        <v>20228010524</v>
      </c>
      <c r="B147" s="4" t="str">
        <f t="shared" si="2"/>
        <v>20220301</v>
      </c>
      <c r="C147" s="5">
        <v>88.5</v>
      </c>
      <c r="D147" s="5">
        <v>82.8</v>
      </c>
      <c r="E147" s="5">
        <v>85.08</v>
      </c>
    </row>
    <row r="148" spans="1:5">
      <c r="A148" s="4" t="str">
        <f>"20228010525"</f>
        <v>20228010525</v>
      </c>
      <c r="B148" s="4" t="str">
        <f t="shared" si="2"/>
        <v>20220301</v>
      </c>
      <c r="C148" s="5">
        <v>92.5</v>
      </c>
      <c r="D148" s="5">
        <v>88.3</v>
      </c>
      <c r="E148" s="5">
        <v>89.98</v>
      </c>
    </row>
    <row r="149" spans="1:5">
      <c r="A149" s="4" t="str">
        <f>"20228010526"</f>
        <v>20228010526</v>
      </c>
      <c r="B149" s="4" t="str">
        <f t="shared" si="2"/>
        <v>20220301</v>
      </c>
      <c r="C149" s="5">
        <v>0</v>
      </c>
      <c r="D149" s="5">
        <v>0</v>
      </c>
      <c r="E149" s="5">
        <v>0</v>
      </c>
    </row>
    <row r="150" spans="1:5">
      <c r="A150" s="4" t="str">
        <f>"20228010527"</f>
        <v>20228010527</v>
      </c>
      <c r="B150" s="4" t="str">
        <f t="shared" si="2"/>
        <v>20220301</v>
      </c>
      <c r="C150" s="5">
        <v>0</v>
      </c>
      <c r="D150" s="5">
        <v>0</v>
      </c>
      <c r="E150" s="5">
        <v>0</v>
      </c>
    </row>
    <row r="151" spans="1:5">
      <c r="A151" s="4" t="str">
        <f>"20228010528"</f>
        <v>20228010528</v>
      </c>
      <c r="B151" s="4" t="str">
        <f t="shared" si="2"/>
        <v>20220301</v>
      </c>
      <c r="C151" s="5">
        <v>78.5</v>
      </c>
      <c r="D151" s="5">
        <v>88.6</v>
      </c>
      <c r="E151" s="5">
        <v>84.56</v>
      </c>
    </row>
    <row r="152" spans="1:5">
      <c r="A152" s="4" t="str">
        <f>"20228010529"</f>
        <v>20228010529</v>
      </c>
      <c r="B152" s="4" t="str">
        <f t="shared" si="2"/>
        <v>20220301</v>
      </c>
      <c r="C152" s="5">
        <v>92.8</v>
      </c>
      <c r="D152" s="5">
        <v>85.3</v>
      </c>
      <c r="E152" s="5">
        <v>88.3</v>
      </c>
    </row>
    <row r="153" spans="1:5">
      <c r="A153" s="4" t="str">
        <f>"20228010530"</f>
        <v>20228010530</v>
      </c>
      <c r="B153" s="4" t="str">
        <f t="shared" si="2"/>
        <v>20220301</v>
      </c>
      <c r="C153" s="5">
        <v>87.5</v>
      </c>
      <c r="D153" s="5">
        <v>84.8</v>
      </c>
      <c r="E153" s="5">
        <v>85.88</v>
      </c>
    </row>
    <row r="154" spans="1:5">
      <c r="A154" s="4" t="str">
        <f>"20228010601"</f>
        <v>20228010601</v>
      </c>
      <c r="B154" s="4" t="str">
        <f t="shared" si="2"/>
        <v>20220301</v>
      </c>
      <c r="C154" s="5">
        <v>0</v>
      </c>
      <c r="D154" s="5">
        <v>0</v>
      </c>
      <c r="E154" s="5">
        <v>0</v>
      </c>
    </row>
    <row r="155" spans="1:5">
      <c r="A155" s="4" t="str">
        <f>"20228010602"</f>
        <v>20228010602</v>
      </c>
      <c r="B155" s="4" t="str">
        <f t="shared" si="2"/>
        <v>20220301</v>
      </c>
      <c r="C155" s="5">
        <v>96.6</v>
      </c>
      <c r="D155" s="5">
        <v>83.9</v>
      </c>
      <c r="E155" s="5">
        <v>88.98</v>
      </c>
    </row>
    <row r="156" spans="1:5">
      <c r="A156" s="4" t="str">
        <f>"20228010603"</f>
        <v>20228010603</v>
      </c>
      <c r="B156" s="4" t="str">
        <f t="shared" si="2"/>
        <v>20220301</v>
      </c>
      <c r="C156" s="5">
        <v>88.7</v>
      </c>
      <c r="D156" s="5">
        <v>86.6</v>
      </c>
      <c r="E156" s="5">
        <v>87.44</v>
      </c>
    </row>
    <row r="157" spans="1:5">
      <c r="A157" s="4" t="str">
        <f>"20228010604"</f>
        <v>20228010604</v>
      </c>
      <c r="B157" s="4" t="str">
        <f t="shared" si="2"/>
        <v>20220301</v>
      </c>
      <c r="C157" s="5">
        <v>103.2</v>
      </c>
      <c r="D157" s="5">
        <v>94.1</v>
      </c>
      <c r="E157" s="5">
        <v>97.74</v>
      </c>
    </row>
    <row r="158" spans="1:5">
      <c r="A158" s="4" t="str">
        <f>"20228010605"</f>
        <v>20228010605</v>
      </c>
      <c r="B158" s="4" t="str">
        <f t="shared" si="2"/>
        <v>20220301</v>
      </c>
      <c r="C158" s="5">
        <v>0</v>
      </c>
      <c r="D158" s="5">
        <v>0</v>
      </c>
      <c r="E158" s="5">
        <v>0</v>
      </c>
    </row>
    <row r="159" spans="1:5">
      <c r="A159" s="4" t="str">
        <f>"20228010606"</f>
        <v>20228010606</v>
      </c>
      <c r="B159" s="4" t="str">
        <f t="shared" si="2"/>
        <v>20220301</v>
      </c>
      <c r="C159" s="5">
        <v>0</v>
      </c>
      <c r="D159" s="5">
        <v>0</v>
      </c>
      <c r="E159" s="5">
        <v>0</v>
      </c>
    </row>
    <row r="160" spans="1:5">
      <c r="A160" s="4" t="str">
        <f>"20228010607"</f>
        <v>20228010607</v>
      </c>
      <c r="B160" s="4" t="str">
        <f t="shared" si="2"/>
        <v>20220301</v>
      </c>
      <c r="C160" s="5">
        <v>92.9</v>
      </c>
      <c r="D160" s="5">
        <v>86</v>
      </c>
      <c r="E160" s="5">
        <v>88.76</v>
      </c>
    </row>
    <row r="161" spans="1:5">
      <c r="A161" s="4" t="str">
        <f>"20228010608"</f>
        <v>20228010608</v>
      </c>
      <c r="B161" s="4" t="str">
        <f t="shared" si="2"/>
        <v>20220301</v>
      </c>
      <c r="C161" s="5">
        <v>99.2</v>
      </c>
      <c r="D161" s="5">
        <v>82.6</v>
      </c>
      <c r="E161" s="5">
        <v>89.24</v>
      </c>
    </row>
    <row r="162" spans="1:5">
      <c r="A162" s="4" t="str">
        <f>"20228010609"</f>
        <v>20228010609</v>
      </c>
      <c r="B162" s="4" t="str">
        <f t="shared" si="2"/>
        <v>20220301</v>
      </c>
      <c r="C162" s="5">
        <v>97.4</v>
      </c>
      <c r="D162" s="5">
        <v>81.2</v>
      </c>
      <c r="E162" s="5">
        <v>87.68</v>
      </c>
    </row>
    <row r="163" spans="1:5">
      <c r="A163" s="4" t="str">
        <f>"20228010610"</f>
        <v>20228010610</v>
      </c>
      <c r="B163" s="4" t="str">
        <f t="shared" si="2"/>
        <v>20220301</v>
      </c>
      <c r="C163" s="5">
        <v>0</v>
      </c>
      <c r="D163" s="5">
        <v>0</v>
      </c>
      <c r="E163" s="5">
        <v>0</v>
      </c>
    </row>
    <row r="164" spans="1:5">
      <c r="A164" s="4" t="str">
        <f>"20228010611"</f>
        <v>20228010611</v>
      </c>
      <c r="B164" s="4" t="str">
        <f t="shared" si="2"/>
        <v>20220301</v>
      </c>
      <c r="C164" s="5">
        <v>0</v>
      </c>
      <c r="D164" s="5">
        <v>0</v>
      </c>
      <c r="E164" s="5">
        <v>0</v>
      </c>
    </row>
    <row r="165" spans="1:5">
      <c r="A165" s="4" t="str">
        <f>"20228010612"</f>
        <v>20228010612</v>
      </c>
      <c r="B165" s="4" t="str">
        <f t="shared" si="2"/>
        <v>20220301</v>
      </c>
      <c r="C165" s="5">
        <v>0</v>
      </c>
      <c r="D165" s="5">
        <v>0</v>
      </c>
      <c r="E165" s="5">
        <v>0</v>
      </c>
    </row>
    <row r="166" spans="1:5">
      <c r="A166" s="4" t="str">
        <f>"20228010613"</f>
        <v>20228010613</v>
      </c>
      <c r="B166" s="4" t="str">
        <f t="shared" si="2"/>
        <v>20220301</v>
      </c>
      <c r="C166" s="5">
        <v>0</v>
      </c>
      <c r="D166" s="5">
        <v>0</v>
      </c>
      <c r="E166" s="5">
        <v>0</v>
      </c>
    </row>
    <row r="167" spans="1:5">
      <c r="A167" s="4" t="str">
        <f>"20228010614"</f>
        <v>20228010614</v>
      </c>
      <c r="B167" s="4" t="str">
        <f t="shared" si="2"/>
        <v>20220301</v>
      </c>
      <c r="C167" s="5">
        <v>0</v>
      </c>
      <c r="D167" s="5">
        <v>0</v>
      </c>
      <c r="E167" s="5">
        <v>0</v>
      </c>
    </row>
    <row r="168" spans="1:5">
      <c r="A168" s="4" t="str">
        <f>"20228010615"</f>
        <v>20228010615</v>
      </c>
      <c r="B168" s="4" t="str">
        <f t="shared" si="2"/>
        <v>20220301</v>
      </c>
      <c r="C168" s="5">
        <v>96</v>
      </c>
      <c r="D168" s="5">
        <v>80.3</v>
      </c>
      <c r="E168" s="5">
        <v>86.58</v>
      </c>
    </row>
    <row r="169" spans="1:5">
      <c r="A169" s="4" t="str">
        <f>"20228010616"</f>
        <v>20228010616</v>
      </c>
      <c r="B169" s="4" t="str">
        <f t="shared" si="2"/>
        <v>20220301</v>
      </c>
      <c r="C169" s="5">
        <v>97.8</v>
      </c>
      <c r="D169" s="5">
        <v>84.9</v>
      </c>
      <c r="E169" s="5">
        <v>90.06</v>
      </c>
    </row>
    <row r="170" spans="1:5">
      <c r="A170" s="4" t="str">
        <f>"20228010617"</f>
        <v>20228010617</v>
      </c>
      <c r="B170" s="4" t="str">
        <f t="shared" si="2"/>
        <v>20220301</v>
      </c>
      <c r="C170" s="5">
        <v>80.1</v>
      </c>
      <c r="D170" s="5">
        <v>76.8</v>
      </c>
      <c r="E170" s="5">
        <v>78.12</v>
      </c>
    </row>
    <row r="171" spans="1:5">
      <c r="A171" s="4" t="str">
        <f>"20228010618"</f>
        <v>20228010618</v>
      </c>
      <c r="B171" s="4" t="str">
        <f t="shared" si="2"/>
        <v>20220301</v>
      </c>
      <c r="C171" s="5">
        <v>70</v>
      </c>
      <c r="D171" s="5">
        <v>70.1</v>
      </c>
      <c r="E171" s="5">
        <v>70.06</v>
      </c>
    </row>
    <row r="172" spans="1:5">
      <c r="A172" s="4" t="str">
        <f>"20228010619"</f>
        <v>20228010619</v>
      </c>
      <c r="B172" s="4" t="str">
        <f t="shared" si="2"/>
        <v>20220301</v>
      </c>
      <c r="C172" s="5">
        <v>82.5</v>
      </c>
      <c r="D172" s="5">
        <v>84.8</v>
      </c>
      <c r="E172" s="5">
        <v>83.88</v>
      </c>
    </row>
    <row r="173" spans="1:5">
      <c r="A173" s="4" t="str">
        <f>"20228010620"</f>
        <v>20228010620</v>
      </c>
      <c r="B173" s="4" t="str">
        <f t="shared" si="2"/>
        <v>20220301</v>
      </c>
      <c r="C173" s="5">
        <v>74.1</v>
      </c>
      <c r="D173" s="5">
        <v>78.8</v>
      </c>
      <c r="E173" s="5">
        <v>76.92</v>
      </c>
    </row>
    <row r="174" spans="1:5">
      <c r="A174" s="4" t="str">
        <f>"20228010621"</f>
        <v>20228010621</v>
      </c>
      <c r="B174" s="4" t="str">
        <f t="shared" si="2"/>
        <v>20220301</v>
      </c>
      <c r="C174" s="5">
        <v>0</v>
      </c>
      <c r="D174" s="5">
        <v>0</v>
      </c>
      <c r="E174" s="5">
        <v>0</v>
      </c>
    </row>
    <row r="175" spans="1:5">
      <c r="A175" s="4" t="str">
        <f>"20228010622"</f>
        <v>20228010622</v>
      </c>
      <c r="B175" s="4" t="str">
        <f t="shared" si="2"/>
        <v>20220301</v>
      </c>
      <c r="C175" s="5">
        <v>0</v>
      </c>
      <c r="D175" s="5">
        <v>0</v>
      </c>
      <c r="E175" s="5">
        <v>0</v>
      </c>
    </row>
    <row r="176" spans="1:5">
      <c r="A176" s="4" t="str">
        <f>"20228010623"</f>
        <v>20228010623</v>
      </c>
      <c r="B176" s="4" t="str">
        <f t="shared" si="2"/>
        <v>20220301</v>
      </c>
      <c r="C176" s="5">
        <v>0</v>
      </c>
      <c r="D176" s="5">
        <v>0</v>
      </c>
      <c r="E176" s="5">
        <v>0</v>
      </c>
    </row>
    <row r="177" spans="1:5">
      <c r="A177" s="4" t="str">
        <f>"20228010624"</f>
        <v>20228010624</v>
      </c>
      <c r="B177" s="4" t="str">
        <f t="shared" si="2"/>
        <v>20220301</v>
      </c>
      <c r="C177" s="5">
        <v>0</v>
      </c>
      <c r="D177" s="5">
        <v>0</v>
      </c>
      <c r="E177" s="5">
        <v>0</v>
      </c>
    </row>
    <row r="178" spans="1:5">
      <c r="A178" s="4" t="str">
        <f>"20228010625"</f>
        <v>20228010625</v>
      </c>
      <c r="B178" s="4" t="str">
        <f t="shared" si="2"/>
        <v>20220301</v>
      </c>
      <c r="C178" s="5">
        <v>65.5</v>
      </c>
      <c r="D178" s="5">
        <v>87.1</v>
      </c>
      <c r="E178" s="5">
        <v>78.46</v>
      </c>
    </row>
    <row r="179" spans="1:5">
      <c r="A179" s="4" t="str">
        <f>"20228010626"</f>
        <v>20228010626</v>
      </c>
      <c r="B179" s="4" t="str">
        <f t="shared" si="2"/>
        <v>20220301</v>
      </c>
      <c r="C179" s="5">
        <v>92.9</v>
      </c>
      <c r="D179" s="5">
        <v>86.7</v>
      </c>
      <c r="E179" s="5">
        <v>89.18</v>
      </c>
    </row>
    <row r="180" spans="1:5">
      <c r="A180" s="4" t="str">
        <f>"20228010627"</f>
        <v>20228010627</v>
      </c>
      <c r="B180" s="4" t="str">
        <f t="shared" si="2"/>
        <v>20220301</v>
      </c>
      <c r="C180" s="5">
        <v>92.4</v>
      </c>
      <c r="D180" s="5">
        <v>79</v>
      </c>
      <c r="E180" s="5">
        <v>84.36</v>
      </c>
    </row>
    <row r="181" spans="1:5">
      <c r="A181" s="4" t="str">
        <f>"20228010628"</f>
        <v>20228010628</v>
      </c>
      <c r="B181" s="4" t="str">
        <f t="shared" si="2"/>
        <v>20220301</v>
      </c>
      <c r="C181" s="5">
        <v>0</v>
      </c>
      <c r="D181" s="5">
        <v>0</v>
      </c>
      <c r="E181" s="5">
        <v>0</v>
      </c>
    </row>
    <row r="182" spans="1:5">
      <c r="A182" s="4" t="str">
        <f>"20228010629"</f>
        <v>20228010629</v>
      </c>
      <c r="B182" s="4" t="str">
        <f t="shared" si="2"/>
        <v>20220301</v>
      </c>
      <c r="C182" s="5">
        <v>88.3</v>
      </c>
      <c r="D182" s="5">
        <v>83.5</v>
      </c>
      <c r="E182" s="5">
        <v>85.42</v>
      </c>
    </row>
    <row r="183" spans="1:5">
      <c r="A183" s="4" t="str">
        <f>"20228010630"</f>
        <v>20228010630</v>
      </c>
      <c r="B183" s="4" t="str">
        <f t="shared" si="2"/>
        <v>20220301</v>
      </c>
      <c r="C183" s="5">
        <v>99.2</v>
      </c>
      <c r="D183" s="5">
        <v>92.8</v>
      </c>
      <c r="E183" s="5">
        <v>95.36</v>
      </c>
    </row>
    <row r="184" spans="1:5">
      <c r="A184" s="4" t="str">
        <f>"20228010701"</f>
        <v>20228010701</v>
      </c>
      <c r="B184" s="4" t="str">
        <f t="shared" si="2"/>
        <v>20220301</v>
      </c>
      <c r="C184" s="5">
        <v>95.3</v>
      </c>
      <c r="D184" s="5">
        <v>95.3</v>
      </c>
      <c r="E184" s="5">
        <v>95.3</v>
      </c>
    </row>
    <row r="185" spans="1:5">
      <c r="A185" s="4" t="str">
        <f>"20228010702"</f>
        <v>20228010702</v>
      </c>
      <c r="B185" s="4" t="str">
        <f t="shared" si="2"/>
        <v>20220301</v>
      </c>
      <c r="C185" s="5">
        <v>0</v>
      </c>
      <c r="D185" s="5">
        <v>0</v>
      </c>
      <c r="E185" s="5">
        <v>0</v>
      </c>
    </row>
    <row r="186" spans="1:5">
      <c r="A186" s="4" t="str">
        <f>"20228010703"</f>
        <v>20228010703</v>
      </c>
      <c r="B186" s="4" t="str">
        <f t="shared" si="2"/>
        <v>20220301</v>
      </c>
      <c r="C186" s="5">
        <v>74.1</v>
      </c>
      <c r="D186" s="5">
        <v>72.6</v>
      </c>
      <c r="E186" s="5">
        <v>73.2</v>
      </c>
    </row>
    <row r="187" spans="1:5">
      <c r="A187" s="4" t="str">
        <f>"20228010704"</f>
        <v>20228010704</v>
      </c>
      <c r="B187" s="4" t="str">
        <f t="shared" si="2"/>
        <v>20220301</v>
      </c>
      <c r="C187" s="5">
        <v>0</v>
      </c>
      <c r="D187" s="5">
        <v>0</v>
      </c>
      <c r="E187" s="5">
        <v>0</v>
      </c>
    </row>
    <row r="188" spans="1:5">
      <c r="A188" s="4" t="str">
        <f>"20228010705"</f>
        <v>20228010705</v>
      </c>
      <c r="B188" s="4" t="str">
        <f t="shared" si="2"/>
        <v>20220301</v>
      </c>
      <c r="C188" s="5">
        <v>94.4</v>
      </c>
      <c r="D188" s="5">
        <v>87.6</v>
      </c>
      <c r="E188" s="5">
        <v>90.32</v>
      </c>
    </row>
    <row r="189" spans="1:5">
      <c r="A189" s="4" t="str">
        <f>"20228010706"</f>
        <v>20228010706</v>
      </c>
      <c r="B189" s="4" t="str">
        <f t="shared" si="2"/>
        <v>20220301</v>
      </c>
      <c r="C189" s="5">
        <v>81.5</v>
      </c>
      <c r="D189" s="5">
        <v>79</v>
      </c>
      <c r="E189" s="5">
        <v>80</v>
      </c>
    </row>
    <row r="190" spans="1:5">
      <c r="A190" s="4" t="str">
        <f>"20228010707"</f>
        <v>20228010707</v>
      </c>
      <c r="B190" s="4" t="str">
        <f t="shared" si="2"/>
        <v>20220301</v>
      </c>
      <c r="C190" s="5">
        <v>0</v>
      </c>
      <c r="D190" s="5">
        <v>0</v>
      </c>
      <c r="E190" s="5">
        <v>0</v>
      </c>
    </row>
    <row r="191" spans="1:5">
      <c r="A191" s="4" t="str">
        <f>"20228010708"</f>
        <v>20228010708</v>
      </c>
      <c r="B191" s="4" t="str">
        <f t="shared" si="2"/>
        <v>20220301</v>
      </c>
      <c r="C191" s="5">
        <v>0</v>
      </c>
      <c r="D191" s="5">
        <v>0</v>
      </c>
      <c r="E191" s="5">
        <v>0</v>
      </c>
    </row>
    <row r="192" spans="1:5">
      <c r="A192" s="4" t="str">
        <f>"20228010709"</f>
        <v>20228010709</v>
      </c>
      <c r="B192" s="4" t="str">
        <f t="shared" si="2"/>
        <v>20220301</v>
      </c>
      <c r="C192" s="5">
        <v>0</v>
      </c>
      <c r="D192" s="5">
        <v>0</v>
      </c>
      <c r="E192" s="5">
        <v>0</v>
      </c>
    </row>
    <row r="193" spans="1:5">
      <c r="A193" s="4" t="str">
        <f>"20228010710"</f>
        <v>20228010710</v>
      </c>
      <c r="B193" s="4" t="str">
        <f t="shared" si="2"/>
        <v>20220301</v>
      </c>
      <c r="C193" s="5">
        <v>91.1</v>
      </c>
      <c r="D193" s="5">
        <v>87.3</v>
      </c>
      <c r="E193" s="5">
        <v>88.82</v>
      </c>
    </row>
    <row r="194" spans="1:5">
      <c r="A194" s="4" t="str">
        <f>"20228010711"</f>
        <v>20228010711</v>
      </c>
      <c r="B194" s="4" t="str">
        <f t="shared" si="2"/>
        <v>20220301</v>
      </c>
      <c r="C194" s="5">
        <v>78</v>
      </c>
      <c r="D194" s="5">
        <v>81.1</v>
      </c>
      <c r="E194" s="5">
        <v>79.86</v>
      </c>
    </row>
    <row r="195" spans="1:5">
      <c r="A195" s="4" t="str">
        <f>"20228010712"</f>
        <v>20228010712</v>
      </c>
      <c r="B195" s="4" t="str">
        <f t="shared" si="2"/>
        <v>20220301</v>
      </c>
      <c r="C195" s="5">
        <v>73.2</v>
      </c>
      <c r="D195" s="5">
        <v>80</v>
      </c>
      <c r="E195" s="5">
        <v>77.28</v>
      </c>
    </row>
    <row r="196" spans="1:5">
      <c r="A196" s="4" t="str">
        <f>"20228010713"</f>
        <v>20228010713</v>
      </c>
      <c r="B196" s="4" t="str">
        <f t="shared" ref="B196:B259" si="3">"20220301"</f>
        <v>20220301</v>
      </c>
      <c r="C196" s="5">
        <v>104.7</v>
      </c>
      <c r="D196" s="5">
        <v>89.6</v>
      </c>
      <c r="E196" s="5">
        <v>95.64</v>
      </c>
    </row>
    <row r="197" spans="1:5">
      <c r="A197" s="4" t="str">
        <f>"20228010714"</f>
        <v>20228010714</v>
      </c>
      <c r="B197" s="4" t="str">
        <f t="shared" si="3"/>
        <v>20220301</v>
      </c>
      <c r="C197" s="5">
        <v>79.3</v>
      </c>
      <c r="D197" s="5">
        <v>89.4</v>
      </c>
      <c r="E197" s="5">
        <v>85.36</v>
      </c>
    </row>
    <row r="198" spans="1:5">
      <c r="A198" s="4" t="str">
        <f>"20228010715"</f>
        <v>20228010715</v>
      </c>
      <c r="B198" s="4" t="str">
        <f t="shared" si="3"/>
        <v>20220301</v>
      </c>
      <c r="C198" s="5">
        <v>0</v>
      </c>
      <c r="D198" s="5">
        <v>0</v>
      </c>
      <c r="E198" s="5">
        <v>0</v>
      </c>
    </row>
    <row r="199" spans="1:5">
      <c r="A199" s="4" t="str">
        <f>"20228010716"</f>
        <v>20228010716</v>
      </c>
      <c r="B199" s="4" t="str">
        <f t="shared" si="3"/>
        <v>20220301</v>
      </c>
      <c r="C199" s="5">
        <v>91.3</v>
      </c>
      <c r="D199" s="5">
        <v>79</v>
      </c>
      <c r="E199" s="5">
        <v>83.92</v>
      </c>
    </row>
    <row r="200" spans="1:5">
      <c r="A200" s="4" t="str">
        <f>"20228010717"</f>
        <v>20228010717</v>
      </c>
      <c r="B200" s="4" t="str">
        <f t="shared" si="3"/>
        <v>20220301</v>
      </c>
      <c r="C200" s="5">
        <v>92.5</v>
      </c>
      <c r="D200" s="5">
        <v>82.1</v>
      </c>
      <c r="E200" s="5">
        <v>86.26</v>
      </c>
    </row>
    <row r="201" spans="1:5">
      <c r="A201" s="4" t="str">
        <f>"20228010718"</f>
        <v>20228010718</v>
      </c>
      <c r="B201" s="4" t="str">
        <f t="shared" si="3"/>
        <v>20220301</v>
      </c>
      <c r="C201" s="5">
        <v>92.8</v>
      </c>
      <c r="D201" s="5">
        <v>81.9</v>
      </c>
      <c r="E201" s="5">
        <v>86.26</v>
      </c>
    </row>
    <row r="202" spans="1:5">
      <c r="A202" s="4" t="str">
        <f>"20228010719"</f>
        <v>20228010719</v>
      </c>
      <c r="B202" s="4" t="str">
        <f t="shared" si="3"/>
        <v>20220301</v>
      </c>
      <c r="C202" s="5">
        <v>97.3</v>
      </c>
      <c r="D202" s="5">
        <v>85.2</v>
      </c>
      <c r="E202" s="5">
        <v>90.04</v>
      </c>
    </row>
    <row r="203" spans="1:5">
      <c r="A203" s="4" t="str">
        <f>"20228010720"</f>
        <v>20228010720</v>
      </c>
      <c r="B203" s="4" t="str">
        <f t="shared" si="3"/>
        <v>20220301</v>
      </c>
      <c r="C203" s="5">
        <v>89.5</v>
      </c>
      <c r="D203" s="5">
        <v>73.3</v>
      </c>
      <c r="E203" s="5">
        <v>79.78</v>
      </c>
    </row>
    <row r="204" spans="1:5">
      <c r="A204" s="4" t="str">
        <f>"20228010721"</f>
        <v>20228010721</v>
      </c>
      <c r="B204" s="4" t="str">
        <f t="shared" si="3"/>
        <v>20220301</v>
      </c>
      <c r="C204" s="5">
        <v>73.5</v>
      </c>
      <c r="D204" s="5">
        <v>86.6</v>
      </c>
      <c r="E204" s="5">
        <v>81.36</v>
      </c>
    </row>
    <row r="205" spans="1:5">
      <c r="A205" s="4" t="str">
        <f>"20228010722"</f>
        <v>20228010722</v>
      </c>
      <c r="B205" s="4" t="str">
        <f t="shared" si="3"/>
        <v>20220301</v>
      </c>
      <c r="C205" s="5">
        <v>90.5</v>
      </c>
      <c r="D205" s="5">
        <v>86.4</v>
      </c>
      <c r="E205" s="5">
        <v>88.04</v>
      </c>
    </row>
    <row r="206" spans="1:5">
      <c r="A206" s="4" t="str">
        <f>"20228010723"</f>
        <v>20228010723</v>
      </c>
      <c r="B206" s="4" t="str">
        <f t="shared" si="3"/>
        <v>20220301</v>
      </c>
      <c r="C206" s="5">
        <v>101.6</v>
      </c>
      <c r="D206" s="5">
        <v>89.9</v>
      </c>
      <c r="E206" s="5">
        <v>94.58</v>
      </c>
    </row>
    <row r="207" spans="1:5">
      <c r="A207" s="4" t="str">
        <f>"20228010724"</f>
        <v>20228010724</v>
      </c>
      <c r="B207" s="4" t="str">
        <f t="shared" si="3"/>
        <v>20220301</v>
      </c>
      <c r="C207" s="5">
        <v>0</v>
      </c>
      <c r="D207" s="5">
        <v>0</v>
      </c>
      <c r="E207" s="5">
        <v>0</v>
      </c>
    </row>
    <row r="208" spans="1:5">
      <c r="A208" s="4" t="str">
        <f>"20228010725"</f>
        <v>20228010725</v>
      </c>
      <c r="B208" s="4" t="str">
        <f t="shared" si="3"/>
        <v>20220301</v>
      </c>
      <c r="C208" s="5">
        <v>89.6</v>
      </c>
      <c r="D208" s="5">
        <v>87.9</v>
      </c>
      <c r="E208" s="5">
        <v>88.58</v>
      </c>
    </row>
    <row r="209" spans="1:5">
      <c r="A209" s="4" t="str">
        <f>"20228010726"</f>
        <v>20228010726</v>
      </c>
      <c r="B209" s="4" t="str">
        <f t="shared" si="3"/>
        <v>20220301</v>
      </c>
      <c r="C209" s="5">
        <v>98.1</v>
      </c>
      <c r="D209" s="5">
        <v>86.7</v>
      </c>
      <c r="E209" s="5">
        <v>91.26</v>
      </c>
    </row>
    <row r="210" spans="1:5">
      <c r="A210" s="4" t="str">
        <f>"20228010727"</f>
        <v>20228010727</v>
      </c>
      <c r="B210" s="4" t="str">
        <f t="shared" si="3"/>
        <v>20220301</v>
      </c>
      <c r="C210" s="5">
        <v>81.3</v>
      </c>
      <c r="D210" s="5">
        <v>77.1</v>
      </c>
      <c r="E210" s="5">
        <v>78.78</v>
      </c>
    </row>
    <row r="211" spans="1:5">
      <c r="A211" s="4" t="str">
        <f>"20228010728"</f>
        <v>20228010728</v>
      </c>
      <c r="B211" s="4" t="str">
        <f t="shared" si="3"/>
        <v>20220301</v>
      </c>
      <c r="C211" s="5">
        <v>91.9</v>
      </c>
      <c r="D211" s="5">
        <v>78.6</v>
      </c>
      <c r="E211" s="5">
        <v>83.92</v>
      </c>
    </row>
    <row r="212" spans="1:5">
      <c r="A212" s="4" t="str">
        <f>"20228010729"</f>
        <v>20228010729</v>
      </c>
      <c r="B212" s="4" t="str">
        <f t="shared" si="3"/>
        <v>20220301</v>
      </c>
      <c r="C212" s="5">
        <v>91</v>
      </c>
      <c r="D212" s="5">
        <v>89.5</v>
      </c>
      <c r="E212" s="5">
        <v>90.1</v>
      </c>
    </row>
    <row r="213" spans="1:5">
      <c r="A213" s="4" t="str">
        <f>"20228010730"</f>
        <v>20228010730</v>
      </c>
      <c r="B213" s="4" t="str">
        <f t="shared" si="3"/>
        <v>20220301</v>
      </c>
      <c r="C213" s="5">
        <v>90.8</v>
      </c>
      <c r="D213" s="5">
        <v>76.1</v>
      </c>
      <c r="E213" s="5">
        <v>81.98</v>
      </c>
    </row>
    <row r="214" spans="1:5">
      <c r="A214" s="4" t="str">
        <f>"20228010801"</f>
        <v>20228010801</v>
      </c>
      <c r="B214" s="4" t="str">
        <f t="shared" si="3"/>
        <v>20220301</v>
      </c>
      <c r="C214" s="5">
        <v>78.4</v>
      </c>
      <c r="D214" s="5">
        <v>77.2</v>
      </c>
      <c r="E214" s="5">
        <v>77.68</v>
      </c>
    </row>
    <row r="215" spans="1:5">
      <c r="A215" s="4" t="str">
        <f>"20228010802"</f>
        <v>20228010802</v>
      </c>
      <c r="B215" s="4" t="str">
        <f t="shared" si="3"/>
        <v>20220301</v>
      </c>
      <c r="C215" s="5">
        <v>62.2</v>
      </c>
      <c r="D215" s="5">
        <v>58.2</v>
      </c>
      <c r="E215" s="5">
        <v>59.8</v>
      </c>
    </row>
    <row r="216" spans="1:5">
      <c r="A216" s="4" t="str">
        <f>"20228010803"</f>
        <v>20228010803</v>
      </c>
      <c r="B216" s="4" t="str">
        <f t="shared" si="3"/>
        <v>20220301</v>
      </c>
      <c r="C216" s="5">
        <v>0</v>
      </c>
      <c r="D216" s="5">
        <v>0</v>
      </c>
      <c r="E216" s="5">
        <v>0</v>
      </c>
    </row>
    <row r="217" spans="1:5">
      <c r="A217" s="4" t="str">
        <f>"20228010804"</f>
        <v>20228010804</v>
      </c>
      <c r="B217" s="4" t="str">
        <f t="shared" si="3"/>
        <v>20220301</v>
      </c>
      <c r="C217" s="5">
        <v>89.4</v>
      </c>
      <c r="D217" s="5">
        <v>83.6</v>
      </c>
      <c r="E217" s="5">
        <v>85.92</v>
      </c>
    </row>
    <row r="218" spans="1:5">
      <c r="A218" s="4" t="str">
        <f>"20228010805"</f>
        <v>20228010805</v>
      </c>
      <c r="B218" s="4" t="str">
        <f t="shared" si="3"/>
        <v>20220301</v>
      </c>
      <c r="C218" s="5">
        <v>0</v>
      </c>
      <c r="D218" s="5">
        <v>0</v>
      </c>
      <c r="E218" s="5">
        <v>0</v>
      </c>
    </row>
    <row r="219" spans="1:5">
      <c r="A219" s="4" t="str">
        <f>"20228010806"</f>
        <v>20228010806</v>
      </c>
      <c r="B219" s="4" t="str">
        <f t="shared" si="3"/>
        <v>20220301</v>
      </c>
      <c r="C219" s="5">
        <v>89.9</v>
      </c>
      <c r="D219" s="5">
        <v>80.1</v>
      </c>
      <c r="E219" s="5">
        <v>84.02</v>
      </c>
    </row>
    <row r="220" spans="1:5">
      <c r="A220" s="4" t="str">
        <f>"20228010807"</f>
        <v>20228010807</v>
      </c>
      <c r="B220" s="4" t="str">
        <f t="shared" si="3"/>
        <v>20220301</v>
      </c>
      <c r="C220" s="5">
        <v>0</v>
      </c>
      <c r="D220" s="5">
        <v>0</v>
      </c>
      <c r="E220" s="5">
        <v>0</v>
      </c>
    </row>
    <row r="221" spans="1:5">
      <c r="A221" s="4" t="str">
        <f>"20228010808"</f>
        <v>20228010808</v>
      </c>
      <c r="B221" s="4" t="str">
        <f t="shared" si="3"/>
        <v>20220301</v>
      </c>
      <c r="C221" s="5">
        <v>71.6</v>
      </c>
      <c r="D221" s="5">
        <v>81.7</v>
      </c>
      <c r="E221" s="5">
        <v>77.66</v>
      </c>
    </row>
    <row r="222" spans="1:5">
      <c r="A222" s="4" t="str">
        <f>"20228010809"</f>
        <v>20228010809</v>
      </c>
      <c r="B222" s="4" t="str">
        <f t="shared" si="3"/>
        <v>20220301</v>
      </c>
      <c r="C222" s="5">
        <v>0</v>
      </c>
      <c r="D222" s="5">
        <v>0</v>
      </c>
      <c r="E222" s="5">
        <v>0</v>
      </c>
    </row>
    <row r="223" spans="1:5">
      <c r="A223" s="4" t="str">
        <f>"20228010810"</f>
        <v>20228010810</v>
      </c>
      <c r="B223" s="4" t="str">
        <f t="shared" si="3"/>
        <v>20220301</v>
      </c>
      <c r="C223" s="5">
        <v>84.6</v>
      </c>
      <c r="D223" s="5">
        <v>87.6</v>
      </c>
      <c r="E223" s="5">
        <v>86.4</v>
      </c>
    </row>
    <row r="224" spans="1:5">
      <c r="A224" s="4" t="str">
        <f>"20228010811"</f>
        <v>20228010811</v>
      </c>
      <c r="B224" s="4" t="str">
        <f t="shared" si="3"/>
        <v>20220301</v>
      </c>
      <c r="C224" s="5">
        <v>95.7</v>
      </c>
      <c r="D224" s="5">
        <v>86</v>
      </c>
      <c r="E224" s="5">
        <v>89.88</v>
      </c>
    </row>
    <row r="225" spans="1:5">
      <c r="A225" s="4" t="str">
        <f>"20228010812"</f>
        <v>20228010812</v>
      </c>
      <c r="B225" s="4" t="str">
        <f t="shared" si="3"/>
        <v>20220301</v>
      </c>
      <c r="C225" s="5">
        <v>0</v>
      </c>
      <c r="D225" s="5">
        <v>0</v>
      </c>
      <c r="E225" s="5">
        <v>0</v>
      </c>
    </row>
    <row r="226" spans="1:5">
      <c r="A226" s="4" t="str">
        <f>"20228010813"</f>
        <v>20228010813</v>
      </c>
      <c r="B226" s="4" t="str">
        <f t="shared" si="3"/>
        <v>20220301</v>
      </c>
      <c r="C226" s="5">
        <v>0</v>
      </c>
      <c r="D226" s="5">
        <v>0</v>
      </c>
      <c r="E226" s="5">
        <v>0</v>
      </c>
    </row>
    <row r="227" spans="1:5">
      <c r="A227" s="4" t="str">
        <f>"20228010814"</f>
        <v>20228010814</v>
      </c>
      <c r="B227" s="4" t="str">
        <f t="shared" si="3"/>
        <v>20220301</v>
      </c>
      <c r="C227" s="5">
        <v>68.1</v>
      </c>
      <c r="D227" s="5">
        <v>79.7</v>
      </c>
      <c r="E227" s="5">
        <v>75.06</v>
      </c>
    </row>
    <row r="228" spans="1:5">
      <c r="A228" s="4" t="str">
        <f>"20228010815"</f>
        <v>20228010815</v>
      </c>
      <c r="B228" s="4" t="str">
        <f t="shared" si="3"/>
        <v>20220301</v>
      </c>
      <c r="C228" s="5">
        <v>100.4</v>
      </c>
      <c r="D228" s="5">
        <v>88.5</v>
      </c>
      <c r="E228" s="5">
        <v>93.26</v>
      </c>
    </row>
    <row r="229" spans="1:5">
      <c r="A229" s="4" t="str">
        <f>"20228010816"</f>
        <v>20228010816</v>
      </c>
      <c r="B229" s="4" t="str">
        <f t="shared" si="3"/>
        <v>20220301</v>
      </c>
      <c r="C229" s="5">
        <v>0</v>
      </c>
      <c r="D229" s="5">
        <v>0</v>
      </c>
      <c r="E229" s="5">
        <v>0</v>
      </c>
    </row>
    <row r="230" spans="1:5">
      <c r="A230" s="4" t="str">
        <f>"20228010817"</f>
        <v>20228010817</v>
      </c>
      <c r="B230" s="4" t="str">
        <f t="shared" si="3"/>
        <v>20220301</v>
      </c>
      <c r="C230" s="5">
        <v>72.6</v>
      </c>
      <c r="D230" s="5">
        <v>76.5</v>
      </c>
      <c r="E230" s="5">
        <v>74.94</v>
      </c>
    </row>
    <row r="231" spans="1:5">
      <c r="A231" s="4" t="str">
        <f>"20228010818"</f>
        <v>20228010818</v>
      </c>
      <c r="B231" s="4" t="str">
        <f t="shared" si="3"/>
        <v>20220301</v>
      </c>
      <c r="C231" s="5">
        <v>85.8</v>
      </c>
      <c r="D231" s="5">
        <v>79</v>
      </c>
      <c r="E231" s="5">
        <v>81.72</v>
      </c>
    </row>
    <row r="232" spans="1:5">
      <c r="A232" s="4" t="str">
        <f>"20228010819"</f>
        <v>20228010819</v>
      </c>
      <c r="B232" s="4" t="str">
        <f t="shared" si="3"/>
        <v>20220301</v>
      </c>
      <c r="C232" s="5">
        <v>94.1</v>
      </c>
      <c r="D232" s="5">
        <v>87.9</v>
      </c>
      <c r="E232" s="5">
        <v>90.38</v>
      </c>
    </row>
    <row r="233" spans="1:5">
      <c r="A233" s="4" t="str">
        <f>"20228010820"</f>
        <v>20228010820</v>
      </c>
      <c r="B233" s="4" t="str">
        <f t="shared" si="3"/>
        <v>20220301</v>
      </c>
      <c r="C233" s="5">
        <v>0</v>
      </c>
      <c r="D233" s="5">
        <v>0</v>
      </c>
      <c r="E233" s="5">
        <v>0</v>
      </c>
    </row>
    <row r="234" spans="1:5">
      <c r="A234" s="4" t="str">
        <f>"20228010821"</f>
        <v>20228010821</v>
      </c>
      <c r="B234" s="4" t="str">
        <f t="shared" si="3"/>
        <v>20220301</v>
      </c>
      <c r="C234" s="5">
        <v>89.6</v>
      </c>
      <c r="D234" s="5">
        <v>86.6</v>
      </c>
      <c r="E234" s="5">
        <v>87.8</v>
      </c>
    </row>
    <row r="235" spans="1:5">
      <c r="A235" s="4" t="str">
        <f>"20228010822"</f>
        <v>20228010822</v>
      </c>
      <c r="B235" s="4" t="str">
        <f t="shared" si="3"/>
        <v>20220301</v>
      </c>
      <c r="C235" s="5">
        <v>0</v>
      </c>
      <c r="D235" s="5">
        <v>0</v>
      </c>
      <c r="E235" s="5">
        <v>0</v>
      </c>
    </row>
    <row r="236" spans="1:5">
      <c r="A236" s="4" t="str">
        <f>"20228010823"</f>
        <v>20228010823</v>
      </c>
      <c r="B236" s="4" t="str">
        <f t="shared" si="3"/>
        <v>20220301</v>
      </c>
      <c r="C236" s="5">
        <v>67.5</v>
      </c>
      <c r="D236" s="5">
        <v>73.9</v>
      </c>
      <c r="E236" s="5">
        <v>71.34</v>
      </c>
    </row>
    <row r="237" spans="1:5">
      <c r="A237" s="4" t="str">
        <f>"20228010824"</f>
        <v>20228010824</v>
      </c>
      <c r="B237" s="4" t="str">
        <f t="shared" si="3"/>
        <v>20220301</v>
      </c>
      <c r="C237" s="5">
        <v>86.3</v>
      </c>
      <c r="D237" s="5">
        <v>79.5</v>
      </c>
      <c r="E237" s="5">
        <v>82.22</v>
      </c>
    </row>
    <row r="238" spans="1:5">
      <c r="A238" s="4" t="str">
        <f>"20228010825"</f>
        <v>20228010825</v>
      </c>
      <c r="B238" s="4" t="str">
        <f t="shared" si="3"/>
        <v>20220301</v>
      </c>
      <c r="C238" s="5">
        <v>0</v>
      </c>
      <c r="D238" s="5">
        <v>0</v>
      </c>
      <c r="E238" s="5">
        <v>0</v>
      </c>
    </row>
    <row r="239" spans="1:5">
      <c r="A239" s="4" t="str">
        <f>"20228010826"</f>
        <v>20228010826</v>
      </c>
      <c r="B239" s="4" t="str">
        <f t="shared" si="3"/>
        <v>20220301</v>
      </c>
      <c r="C239" s="5">
        <v>78.2</v>
      </c>
      <c r="D239" s="5">
        <v>81.9</v>
      </c>
      <c r="E239" s="5">
        <v>80.42</v>
      </c>
    </row>
    <row r="240" spans="1:5">
      <c r="A240" s="4" t="str">
        <f>"20228010827"</f>
        <v>20228010827</v>
      </c>
      <c r="B240" s="4" t="str">
        <f t="shared" si="3"/>
        <v>20220301</v>
      </c>
      <c r="C240" s="5">
        <v>0</v>
      </c>
      <c r="D240" s="5">
        <v>0</v>
      </c>
      <c r="E240" s="5">
        <v>0</v>
      </c>
    </row>
    <row r="241" spans="1:5">
      <c r="A241" s="4" t="str">
        <f>"20228010828"</f>
        <v>20228010828</v>
      </c>
      <c r="B241" s="4" t="str">
        <f t="shared" si="3"/>
        <v>20220301</v>
      </c>
      <c r="C241" s="5">
        <v>0</v>
      </c>
      <c r="D241" s="5">
        <v>0</v>
      </c>
      <c r="E241" s="5">
        <v>0</v>
      </c>
    </row>
    <row r="242" spans="1:5">
      <c r="A242" s="4" t="str">
        <f>"20228010829"</f>
        <v>20228010829</v>
      </c>
      <c r="B242" s="4" t="str">
        <f t="shared" si="3"/>
        <v>20220301</v>
      </c>
      <c r="C242" s="5">
        <v>0</v>
      </c>
      <c r="D242" s="5">
        <v>0</v>
      </c>
      <c r="E242" s="5">
        <v>0</v>
      </c>
    </row>
    <row r="243" spans="1:5">
      <c r="A243" s="4" t="str">
        <f>"20228010830"</f>
        <v>20228010830</v>
      </c>
      <c r="B243" s="4" t="str">
        <f t="shared" si="3"/>
        <v>20220301</v>
      </c>
      <c r="C243" s="5">
        <v>87.2</v>
      </c>
      <c r="D243" s="5">
        <v>85.8</v>
      </c>
      <c r="E243" s="5">
        <v>86.36</v>
      </c>
    </row>
    <row r="244" spans="1:5">
      <c r="A244" s="4" t="str">
        <f>"20228010901"</f>
        <v>20228010901</v>
      </c>
      <c r="B244" s="4" t="str">
        <f t="shared" si="3"/>
        <v>20220301</v>
      </c>
      <c r="C244" s="5">
        <v>0</v>
      </c>
      <c r="D244" s="5">
        <v>0</v>
      </c>
      <c r="E244" s="5">
        <v>0</v>
      </c>
    </row>
    <row r="245" spans="1:5">
      <c r="A245" s="4" t="str">
        <f>"20228010902"</f>
        <v>20228010902</v>
      </c>
      <c r="B245" s="4" t="str">
        <f t="shared" si="3"/>
        <v>20220301</v>
      </c>
      <c r="C245" s="5">
        <v>0</v>
      </c>
      <c r="D245" s="5">
        <v>0</v>
      </c>
      <c r="E245" s="5">
        <v>0</v>
      </c>
    </row>
    <row r="246" spans="1:5">
      <c r="A246" s="4" t="str">
        <f>"20228010903"</f>
        <v>20228010903</v>
      </c>
      <c r="B246" s="4" t="str">
        <f t="shared" si="3"/>
        <v>20220301</v>
      </c>
      <c r="C246" s="5">
        <v>92.2</v>
      </c>
      <c r="D246" s="5">
        <v>88.3</v>
      </c>
      <c r="E246" s="5">
        <v>89.86</v>
      </c>
    </row>
    <row r="247" spans="1:5">
      <c r="A247" s="4" t="str">
        <f>"20228010904"</f>
        <v>20228010904</v>
      </c>
      <c r="B247" s="4" t="str">
        <f t="shared" si="3"/>
        <v>20220301</v>
      </c>
      <c r="C247" s="5">
        <v>80.7</v>
      </c>
      <c r="D247" s="5">
        <v>81.9</v>
      </c>
      <c r="E247" s="5">
        <v>81.42</v>
      </c>
    </row>
    <row r="248" spans="1:5">
      <c r="A248" s="4" t="str">
        <f>"20228010905"</f>
        <v>20228010905</v>
      </c>
      <c r="B248" s="4" t="str">
        <f t="shared" si="3"/>
        <v>20220301</v>
      </c>
      <c r="C248" s="5">
        <v>0</v>
      </c>
      <c r="D248" s="5">
        <v>0</v>
      </c>
      <c r="E248" s="5">
        <v>0</v>
      </c>
    </row>
    <row r="249" spans="1:5">
      <c r="A249" s="4" t="str">
        <f>"20228010906"</f>
        <v>20228010906</v>
      </c>
      <c r="B249" s="4" t="str">
        <f t="shared" si="3"/>
        <v>20220301</v>
      </c>
      <c r="C249" s="5">
        <v>0</v>
      </c>
      <c r="D249" s="5">
        <v>0</v>
      </c>
      <c r="E249" s="5">
        <v>0</v>
      </c>
    </row>
    <row r="250" spans="1:5">
      <c r="A250" s="4" t="str">
        <f>"20228010907"</f>
        <v>20228010907</v>
      </c>
      <c r="B250" s="4" t="str">
        <f t="shared" si="3"/>
        <v>20220301</v>
      </c>
      <c r="C250" s="5">
        <v>0</v>
      </c>
      <c r="D250" s="5">
        <v>0</v>
      </c>
      <c r="E250" s="5">
        <v>0</v>
      </c>
    </row>
    <row r="251" spans="1:5">
      <c r="A251" s="4" t="str">
        <f>"20228010908"</f>
        <v>20228010908</v>
      </c>
      <c r="B251" s="4" t="str">
        <f t="shared" si="3"/>
        <v>20220301</v>
      </c>
      <c r="C251" s="5">
        <v>0</v>
      </c>
      <c r="D251" s="5">
        <v>0</v>
      </c>
      <c r="E251" s="5">
        <v>0</v>
      </c>
    </row>
    <row r="252" spans="1:5">
      <c r="A252" s="4" t="str">
        <f>"20228010909"</f>
        <v>20228010909</v>
      </c>
      <c r="B252" s="4" t="str">
        <f t="shared" si="3"/>
        <v>20220301</v>
      </c>
      <c r="C252" s="5">
        <v>80.6</v>
      </c>
      <c r="D252" s="5">
        <v>81.3</v>
      </c>
      <c r="E252" s="5">
        <v>81.02</v>
      </c>
    </row>
    <row r="253" spans="1:5">
      <c r="A253" s="4" t="str">
        <f>"20228010910"</f>
        <v>20228010910</v>
      </c>
      <c r="B253" s="4" t="str">
        <f t="shared" si="3"/>
        <v>20220301</v>
      </c>
      <c r="C253" s="5">
        <v>87.4</v>
      </c>
      <c r="D253" s="5">
        <v>85.2</v>
      </c>
      <c r="E253" s="5">
        <v>86.08</v>
      </c>
    </row>
    <row r="254" spans="1:5">
      <c r="A254" s="4" t="str">
        <f>"20228010911"</f>
        <v>20228010911</v>
      </c>
      <c r="B254" s="4" t="str">
        <f t="shared" si="3"/>
        <v>20220301</v>
      </c>
      <c r="C254" s="5">
        <v>90.8</v>
      </c>
      <c r="D254" s="5">
        <v>87.1</v>
      </c>
      <c r="E254" s="5">
        <v>88.58</v>
      </c>
    </row>
    <row r="255" spans="1:5">
      <c r="A255" s="4" t="str">
        <f>"20228010912"</f>
        <v>20228010912</v>
      </c>
      <c r="B255" s="4" t="str">
        <f t="shared" si="3"/>
        <v>20220301</v>
      </c>
      <c r="C255" s="5">
        <v>0</v>
      </c>
      <c r="D255" s="5">
        <v>0</v>
      </c>
      <c r="E255" s="5">
        <v>0</v>
      </c>
    </row>
    <row r="256" spans="1:5">
      <c r="A256" s="4" t="str">
        <f>"20228010913"</f>
        <v>20228010913</v>
      </c>
      <c r="B256" s="4" t="str">
        <f t="shared" si="3"/>
        <v>20220301</v>
      </c>
      <c r="C256" s="5">
        <v>83.4</v>
      </c>
      <c r="D256" s="5">
        <v>88</v>
      </c>
      <c r="E256" s="5">
        <v>86.16</v>
      </c>
    </row>
    <row r="257" spans="1:5">
      <c r="A257" s="4" t="str">
        <f>"20228010914"</f>
        <v>20228010914</v>
      </c>
      <c r="B257" s="4" t="str">
        <f t="shared" si="3"/>
        <v>20220301</v>
      </c>
      <c r="C257" s="5">
        <v>75.6</v>
      </c>
      <c r="D257" s="5">
        <v>85.7</v>
      </c>
      <c r="E257" s="5">
        <v>81.66</v>
      </c>
    </row>
    <row r="258" spans="1:5">
      <c r="A258" s="4" t="str">
        <f>"20228010915"</f>
        <v>20228010915</v>
      </c>
      <c r="B258" s="4" t="str">
        <f t="shared" si="3"/>
        <v>20220301</v>
      </c>
      <c r="C258" s="5">
        <v>93.8</v>
      </c>
      <c r="D258" s="5">
        <v>79.8</v>
      </c>
      <c r="E258" s="5">
        <v>85.4</v>
      </c>
    </row>
    <row r="259" spans="1:5">
      <c r="A259" s="4" t="str">
        <f>"20228010916"</f>
        <v>20228010916</v>
      </c>
      <c r="B259" s="4" t="str">
        <f t="shared" si="3"/>
        <v>20220301</v>
      </c>
      <c r="C259" s="5">
        <v>93.6</v>
      </c>
      <c r="D259" s="5">
        <v>89.4</v>
      </c>
      <c r="E259" s="5">
        <v>91.08</v>
      </c>
    </row>
    <row r="260" spans="1:5">
      <c r="A260" s="4" t="str">
        <f>"20228010917"</f>
        <v>20228010917</v>
      </c>
      <c r="B260" s="4" t="str">
        <f t="shared" ref="B260:B323" si="4">"20220301"</f>
        <v>20220301</v>
      </c>
      <c r="C260" s="5">
        <v>84.1</v>
      </c>
      <c r="D260" s="5">
        <v>84.8</v>
      </c>
      <c r="E260" s="5">
        <v>84.52</v>
      </c>
    </row>
    <row r="261" spans="1:5">
      <c r="A261" s="4" t="str">
        <f>"20228010918"</f>
        <v>20228010918</v>
      </c>
      <c r="B261" s="4" t="str">
        <f t="shared" si="4"/>
        <v>20220301</v>
      </c>
      <c r="C261" s="5">
        <v>97.6</v>
      </c>
      <c r="D261" s="5">
        <v>83.9</v>
      </c>
      <c r="E261" s="5">
        <v>89.38</v>
      </c>
    </row>
    <row r="262" spans="1:5">
      <c r="A262" s="4" t="str">
        <f>"20228010919"</f>
        <v>20228010919</v>
      </c>
      <c r="B262" s="4" t="str">
        <f t="shared" si="4"/>
        <v>20220301</v>
      </c>
      <c r="C262" s="5">
        <v>74.2</v>
      </c>
      <c r="D262" s="5">
        <v>71.3</v>
      </c>
      <c r="E262" s="5">
        <v>72.46</v>
      </c>
    </row>
    <row r="263" spans="1:5">
      <c r="A263" s="4" t="str">
        <f>"20228010920"</f>
        <v>20228010920</v>
      </c>
      <c r="B263" s="4" t="str">
        <f t="shared" si="4"/>
        <v>20220301</v>
      </c>
      <c r="C263" s="5">
        <v>0</v>
      </c>
      <c r="D263" s="5">
        <v>0</v>
      </c>
      <c r="E263" s="5">
        <v>0</v>
      </c>
    </row>
    <row r="264" spans="1:5">
      <c r="A264" s="4" t="str">
        <f>"20228010921"</f>
        <v>20228010921</v>
      </c>
      <c r="B264" s="4" t="str">
        <f t="shared" si="4"/>
        <v>20220301</v>
      </c>
      <c r="C264" s="5">
        <v>69.2</v>
      </c>
      <c r="D264" s="5">
        <v>83</v>
      </c>
      <c r="E264" s="5">
        <v>77.48</v>
      </c>
    </row>
    <row r="265" spans="1:5">
      <c r="A265" s="4" t="str">
        <f>"20228010922"</f>
        <v>20228010922</v>
      </c>
      <c r="B265" s="4" t="str">
        <f t="shared" si="4"/>
        <v>20220301</v>
      </c>
      <c r="C265" s="5">
        <v>0</v>
      </c>
      <c r="D265" s="5">
        <v>0</v>
      </c>
      <c r="E265" s="5">
        <v>0</v>
      </c>
    </row>
    <row r="266" spans="1:5">
      <c r="A266" s="4" t="str">
        <f>"20228010923"</f>
        <v>20228010923</v>
      </c>
      <c r="B266" s="4" t="str">
        <f t="shared" si="4"/>
        <v>20220301</v>
      </c>
      <c r="C266" s="5">
        <v>82.3</v>
      </c>
      <c r="D266" s="5">
        <v>79.9</v>
      </c>
      <c r="E266" s="5">
        <v>80.86</v>
      </c>
    </row>
    <row r="267" spans="1:5">
      <c r="A267" s="4" t="str">
        <f>"20228010924"</f>
        <v>20228010924</v>
      </c>
      <c r="B267" s="4" t="str">
        <f t="shared" si="4"/>
        <v>20220301</v>
      </c>
      <c r="C267" s="5">
        <v>0</v>
      </c>
      <c r="D267" s="5">
        <v>0</v>
      </c>
      <c r="E267" s="5">
        <v>0</v>
      </c>
    </row>
    <row r="268" spans="1:5">
      <c r="A268" s="4" t="str">
        <f>"20228010925"</f>
        <v>20228010925</v>
      </c>
      <c r="B268" s="4" t="str">
        <f t="shared" si="4"/>
        <v>20220301</v>
      </c>
      <c r="C268" s="5">
        <v>0</v>
      </c>
      <c r="D268" s="5">
        <v>27.2</v>
      </c>
      <c r="E268" s="5">
        <v>16.32</v>
      </c>
    </row>
    <row r="269" spans="1:5">
      <c r="A269" s="4" t="str">
        <f>"20228010926"</f>
        <v>20228010926</v>
      </c>
      <c r="B269" s="4" t="str">
        <f t="shared" si="4"/>
        <v>20220301</v>
      </c>
      <c r="C269" s="5">
        <v>94.6</v>
      </c>
      <c r="D269" s="5">
        <v>84.9</v>
      </c>
      <c r="E269" s="5">
        <v>88.78</v>
      </c>
    </row>
    <row r="270" spans="1:5">
      <c r="A270" s="4" t="str">
        <f>"20228010927"</f>
        <v>20228010927</v>
      </c>
      <c r="B270" s="4" t="str">
        <f t="shared" si="4"/>
        <v>20220301</v>
      </c>
      <c r="C270" s="5">
        <v>0</v>
      </c>
      <c r="D270" s="5">
        <v>0</v>
      </c>
      <c r="E270" s="5">
        <v>0</v>
      </c>
    </row>
    <row r="271" spans="1:5">
      <c r="A271" s="4" t="str">
        <f>"20228010928"</f>
        <v>20228010928</v>
      </c>
      <c r="B271" s="4" t="str">
        <f t="shared" si="4"/>
        <v>20220301</v>
      </c>
      <c r="C271" s="5">
        <v>90.9</v>
      </c>
      <c r="D271" s="5">
        <v>91.4</v>
      </c>
      <c r="E271" s="5">
        <v>91.2</v>
      </c>
    </row>
    <row r="272" spans="1:5">
      <c r="A272" s="4" t="str">
        <f>"20228010929"</f>
        <v>20228010929</v>
      </c>
      <c r="B272" s="4" t="str">
        <f t="shared" si="4"/>
        <v>20220301</v>
      </c>
      <c r="C272" s="5">
        <v>0</v>
      </c>
      <c r="D272" s="5">
        <v>0</v>
      </c>
      <c r="E272" s="5">
        <v>0</v>
      </c>
    </row>
    <row r="273" spans="1:5">
      <c r="A273" s="4" t="str">
        <f>"20228010930"</f>
        <v>20228010930</v>
      </c>
      <c r="B273" s="4" t="str">
        <f t="shared" si="4"/>
        <v>20220301</v>
      </c>
      <c r="C273" s="5">
        <v>98.2</v>
      </c>
      <c r="D273" s="5">
        <v>91.5</v>
      </c>
      <c r="E273" s="5">
        <v>94.18</v>
      </c>
    </row>
    <row r="274" spans="1:5">
      <c r="A274" s="4" t="str">
        <f>"20228011001"</f>
        <v>20228011001</v>
      </c>
      <c r="B274" s="4" t="str">
        <f t="shared" si="4"/>
        <v>20220301</v>
      </c>
      <c r="C274" s="5">
        <v>88.6</v>
      </c>
      <c r="D274" s="5">
        <v>85.9</v>
      </c>
      <c r="E274" s="5">
        <v>86.98</v>
      </c>
    </row>
    <row r="275" spans="1:5">
      <c r="A275" s="4" t="str">
        <f>"20228011002"</f>
        <v>20228011002</v>
      </c>
      <c r="B275" s="4" t="str">
        <f t="shared" si="4"/>
        <v>20220301</v>
      </c>
      <c r="C275" s="5">
        <v>0</v>
      </c>
      <c r="D275" s="5">
        <v>0</v>
      </c>
      <c r="E275" s="5">
        <v>0</v>
      </c>
    </row>
    <row r="276" spans="1:5">
      <c r="A276" s="4" t="str">
        <f>"20228011003"</f>
        <v>20228011003</v>
      </c>
      <c r="B276" s="4" t="str">
        <f t="shared" si="4"/>
        <v>20220301</v>
      </c>
      <c r="C276" s="5">
        <v>91.4</v>
      </c>
      <c r="D276" s="5">
        <v>90.5</v>
      </c>
      <c r="E276" s="5">
        <v>90.86</v>
      </c>
    </row>
    <row r="277" spans="1:5">
      <c r="A277" s="4" t="str">
        <f>"20228011004"</f>
        <v>20228011004</v>
      </c>
      <c r="B277" s="4" t="str">
        <f t="shared" si="4"/>
        <v>20220301</v>
      </c>
      <c r="C277" s="5">
        <v>91.4</v>
      </c>
      <c r="D277" s="5">
        <v>76.3</v>
      </c>
      <c r="E277" s="5">
        <v>82.34</v>
      </c>
    </row>
    <row r="278" spans="1:5">
      <c r="A278" s="4" t="str">
        <f>"20228011005"</f>
        <v>20228011005</v>
      </c>
      <c r="B278" s="4" t="str">
        <f t="shared" si="4"/>
        <v>20220301</v>
      </c>
      <c r="C278" s="5">
        <v>88.9</v>
      </c>
      <c r="D278" s="5">
        <v>80.9</v>
      </c>
      <c r="E278" s="5">
        <v>84.1</v>
      </c>
    </row>
    <row r="279" spans="1:5">
      <c r="A279" s="4" t="str">
        <f>"20228011006"</f>
        <v>20228011006</v>
      </c>
      <c r="B279" s="4" t="str">
        <f t="shared" si="4"/>
        <v>20220301</v>
      </c>
      <c r="C279" s="5">
        <v>75.4</v>
      </c>
      <c r="D279" s="5">
        <v>79.4</v>
      </c>
      <c r="E279" s="5">
        <v>77.8</v>
      </c>
    </row>
    <row r="280" spans="1:5">
      <c r="A280" s="4" t="str">
        <f>"20228011007"</f>
        <v>20228011007</v>
      </c>
      <c r="B280" s="4" t="str">
        <f t="shared" si="4"/>
        <v>20220301</v>
      </c>
      <c r="C280" s="5">
        <v>98.2</v>
      </c>
      <c r="D280" s="5">
        <v>89.3</v>
      </c>
      <c r="E280" s="5">
        <v>92.86</v>
      </c>
    </row>
    <row r="281" spans="1:5">
      <c r="A281" s="4" t="str">
        <f>"20228011008"</f>
        <v>20228011008</v>
      </c>
      <c r="B281" s="4" t="str">
        <f t="shared" si="4"/>
        <v>20220301</v>
      </c>
      <c r="C281" s="5">
        <v>88.2</v>
      </c>
      <c r="D281" s="5">
        <v>86.7</v>
      </c>
      <c r="E281" s="5">
        <v>87.3</v>
      </c>
    </row>
    <row r="282" spans="1:5">
      <c r="A282" s="4" t="str">
        <f>"20228011009"</f>
        <v>20228011009</v>
      </c>
      <c r="B282" s="4" t="str">
        <f t="shared" si="4"/>
        <v>20220301</v>
      </c>
      <c r="C282" s="5">
        <v>73.9</v>
      </c>
      <c r="D282" s="5">
        <v>86.4</v>
      </c>
      <c r="E282" s="5">
        <v>81.4</v>
      </c>
    </row>
    <row r="283" spans="1:5">
      <c r="A283" s="4" t="str">
        <f>"20228011010"</f>
        <v>20228011010</v>
      </c>
      <c r="B283" s="4" t="str">
        <f t="shared" si="4"/>
        <v>20220301</v>
      </c>
      <c r="C283" s="5">
        <v>86.6</v>
      </c>
      <c r="D283" s="5">
        <v>84.7</v>
      </c>
      <c r="E283" s="5">
        <v>85.46</v>
      </c>
    </row>
    <row r="284" spans="1:5">
      <c r="A284" s="4" t="str">
        <f>"20228011011"</f>
        <v>20228011011</v>
      </c>
      <c r="B284" s="4" t="str">
        <f t="shared" si="4"/>
        <v>20220301</v>
      </c>
      <c r="C284" s="5">
        <v>0</v>
      </c>
      <c r="D284" s="5">
        <v>0</v>
      </c>
      <c r="E284" s="5">
        <v>0</v>
      </c>
    </row>
    <row r="285" spans="1:5">
      <c r="A285" s="4" t="str">
        <f>"20228011012"</f>
        <v>20228011012</v>
      </c>
      <c r="B285" s="4" t="str">
        <f t="shared" si="4"/>
        <v>20220301</v>
      </c>
      <c r="C285" s="5">
        <v>104.7</v>
      </c>
      <c r="D285" s="5">
        <v>87.6</v>
      </c>
      <c r="E285" s="5">
        <v>94.44</v>
      </c>
    </row>
    <row r="286" spans="1:5">
      <c r="A286" s="4" t="str">
        <f>"20228011013"</f>
        <v>20228011013</v>
      </c>
      <c r="B286" s="4" t="str">
        <f t="shared" si="4"/>
        <v>20220301</v>
      </c>
      <c r="C286" s="5">
        <v>99.7</v>
      </c>
      <c r="D286" s="5">
        <v>93.9</v>
      </c>
      <c r="E286" s="5">
        <v>96.22</v>
      </c>
    </row>
    <row r="287" spans="1:5">
      <c r="A287" s="4" t="str">
        <f>"20228011014"</f>
        <v>20228011014</v>
      </c>
      <c r="B287" s="4" t="str">
        <f t="shared" si="4"/>
        <v>20220301</v>
      </c>
      <c r="C287" s="5">
        <v>81.4</v>
      </c>
      <c r="D287" s="5">
        <v>78.4</v>
      </c>
      <c r="E287" s="5">
        <v>79.6</v>
      </c>
    </row>
    <row r="288" spans="1:5">
      <c r="A288" s="4" t="str">
        <f>"20228011015"</f>
        <v>20228011015</v>
      </c>
      <c r="B288" s="4" t="str">
        <f t="shared" si="4"/>
        <v>20220301</v>
      </c>
      <c r="C288" s="5">
        <v>95.8</v>
      </c>
      <c r="D288" s="5">
        <v>91.7</v>
      </c>
      <c r="E288" s="5">
        <v>93.34</v>
      </c>
    </row>
    <row r="289" spans="1:5">
      <c r="A289" s="4" t="str">
        <f>"20228011016"</f>
        <v>20228011016</v>
      </c>
      <c r="B289" s="4" t="str">
        <f t="shared" si="4"/>
        <v>20220301</v>
      </c>
      <c r="C289" s="5">
        <v>0</v>
      </c>
      <c r="D289" s="5">
        <v>0</v>
      </c>
      <c r="E289" s="5">
        <v>0</v>
      </c>
    </row>
    <row r="290" spans="1:5">
      <c r="A290" s="4" t="str">
        <f>"20228011017"</f>
        <v>20228011017</v>
      </c>
      <c r="B290" s="4" t="str">
        <f t="shared" si="4"/>
        <v>20220301</v>
      </c>
      <c r="C290" s="5">
        <v>0</v>
      </c>
      <c r="D290" s="5">
        <v>0</v>
      </c>
      <c r="E290" s="5">
        <v>0</v>
      </c>
    </row>
    <row r="291" spans="1:5">
      <c r="A291" s="4" t="str">
        <f>"20228011018"</f>
        <v>20228011018</v>
      </c>
      <c r="B291" s="4" t="str">
        <f t="shared" si="4"/>
        <v>20220301</v>
      </c>
      <c r="C291" s="5">
        <v>96.6</v>
      </c>
      <c r="D291" s="5">
        <v>87</v>
      </c>
      <c r="E291" s="5">
        <v>90.84</v>
      </c>
    </row>
    <row r="292" spans="1:5">
      <c r="A292" s="4" t="str">
        <f>"20228011019"</f>
        <v>20228011019</v>
      </c>
      <c r="B292" s="4" t="str">
        <f t="shared" si="4"/>
        <v>20220301</v>
      </c>
      <c r="C292" s="5">
        <v>0</v>
      </c>
      <c r="D292" s="5">
        <v>0</v>
      </c>
      <c r="E292" s="5">
        <v>0</v>
      </c>
    </row>
    <row r="293" spans="1:5">
      <c r="A293" s="4" t="str">
        <f>"20228011020"</f>
        <v>20228011020</v>
      </c>
      <c r="B293" s="4" t="str">
        <f t="shared" si="4"/>
        <v>20220301</v>
      </c>
      <c r="C293" s="5">
        <v>94.5</v>
      </c>
      <c r="D293" s="5">
        <v>75.7</v>
      </c>
      <c r="E293" s="5">
        <v>83.22</v>
      </c>
    </row>
    <row r="294" spans="1:5">
      <c r="A294" s="4" t="str">
        <f>"20228011021"</f>
        <v>20228011021</v>
      </c>
      <c r="B294" s="4" t="str">
        <f t="shared" si="4"/>
        <v>20220301</v>
      </c>
      <c r="C294" s="5">
        <v>0</v>
      </c>
      <c r="D294" s="5">
        <v>0</v>
      </c>
      <c r="E294" s="5">
        <v>0</v>
      </c>
    </row>
    <row r="295" spans="1:5">
      <c r="A295" s="4" t="str">
        <f>"20228011022"</f>
        <v>20228011022</v>
      </c>
      <c r="B295" s="4" t="str">
        <f t="shared" si="4"/>
        <v>20220301</v>
      </c>
      <c r="C295" s="5">
        <v>0</v>
      </c>
      <c r="D295" s="5">
        <v>0</v>
      </c>
      <c r="E295" s="5">
        <v>0</v>
      </c>
    </row>
    <row r="296" spans="1:5">
      <c r="A296" s="4" t="str">
        <f>"20228011023"</f>
        <v>20228011023</v>
      </c>
      <c r="B296" s="4" t="str">
        <f t="shared" si="4"/>
        <v>20220301</v>
      </c>
      <c r="C296" s="5">
        <v>82.5</v>
      </c>
      <c r="D296" s="5">
        <v>82</v>
      </c>
      <c r="E296" s="5">
        <v>82.2</v>
      </c>
    </row>
    <row r="297" spans="1:5">
      <c r="A297" s="4" t="str">
        <f>"20228011024"</f>
        <v>20228011024</v>
      </c>
      <c r="B297" s="4" t="str">
        <f t="shared" si="4"/>
        <v>20220301</v>
      </c>
      <c r="C297" s="5">
        <v>97.7</v>
      </c>
      <c r="D297" s="5">
        <v>90.8</v>
      </c>
      <c r="E297" s="5">
        <v>93.56</v>
      </c>
    </row>
    <row r="298" spans="1:5">
      <c r="A298" s="4" t="str">
        <f>"20228011025"</f>
        <v>20228011025</v>
      </c>
      <c r="B298" s="4" t="str">
        <f t="shared" si="4"/>
        <v>20220301</v>
      </c>
      <c r="C298" s="5">
        <v>89.6</v>
      </c>
      <c r="D298" s="5">
        <v>85.1</v>
      </c>
      <c r="E298" s="5">
        <v>86.9</v>
      </c>
    </row>
    <row r="299" spans="1:5">
      <c r="A299" s="4" t="str">
        <f>"20228011026"</f>
        <v>20228011026</v>
      </c>
      <c r="B299" s="4" t="str">
        <f t="shared" si="4"/>
        <v>20220301</v>
      </c>
      <c r="C299" s="5">
        <v>100</v>
      </c>
      <c r="D299" s="5">
        <v>96</v>
      </c>
      <c r="E299" s="5">
        <v>97.6</v>
      </c>
    </row>
    <row r="300" spans="1:5">
      <c r="A300" s="4" t="str">
        <f>"20228011027"</f>
        <v>20228011027</v>
      </c>
      <c r="B300" s="4" t="str">
        <f t="shared" si="4"/>
        <v>20220301</v>
      </c>
      <c r="C300" s="5">
        <v>90.5</v>
      </c>
      <c r="D300" s="5">
        <v>94.2</v>
      </c>
      <c r="E300" s="5">
        <v>92.72</v>
      </c>
    </row>
    <row r="301" spans="1:5">
      <c r="A301" s="4" t="str">
        <f>"20228011028"</f>
        <v>20228011028</v>
      </c>
      <c r="B301" s="4" t="str">
        <f t="shared" si="4"/>
        <v>20220301</v>
      </c>
      <c r="C301" s="5">
        <v>0</v>
      </c>
      <c r="D301" s="5">
        <v>0</v>
      </c>
      <c r="E301" s="5">
        <v>0</v>
      </c>
    </row>
    <row r="302" spans="1:5">
      <c r="A302" s="4" t="str">
        <f>"20228011029"</f>
        <v>20228011029</v>
      </c>
      <c r="B302" s="4" t="str">
        <f t="shared" si="4"/>
        <v>20220301</v>
      </c>
      <c r="C302" s="5">
        <v>65.4</v>
      </c>
      <c r="D302" s="5">
        <v>69</v>
      </c>
      <c r="E302" s="5">
        <v>67.56</v>
      </c>
    </row>
    <row r="303" spans="1:5">
      <c r="A303" s="4" t="str">
        <f>"20228011030"</f>
        <v>20228011030</v>
      </c>
      <c r="B303" s="4" t="str">
        <f t="shared" si="4"/>
        <v>20220301</v>
      </c>
      <c r="C303" s="5">
        <v>0</v>
      </c>
      <c r="D303" s="5">
        <v>0</v>
      </c>
      <c r="E303" s="5">
        <v>0</v>
      </c>
    </row>
    <row r="304" spans="1:5">
      <c r="A304" s="4" t="str">
        <f>"20228011101"</f>
        <v>20228011101</v>
      </c>
      <c r="B304" s="4" t="str">
        <f t="shared" si="4"/>
        <v>20220301</v>
      </c>
      <c r="C304" s="5">
        <v>99.9</v>
      </c>
      <c r="D304" s="5">
        <v>80.2</v>
      </c>
      <c r="E304" s="5">
        <v>88.08</v>
      </c>
    </row>
    <row r="305" spans="1:5">
      <c r="A305" s="4" t="str">
        <f>"20228011102"</f>
        <v>20228011102</v>
      </c>
      <c r="B305" s="4" t="str">
        <f t="shared" si="4"/>
        <v>20220301</v>
      </c>
      <c r="C305" s="5">
        <v>0</v>
      </c>
      <c r="D305" s="5">
        <v>0</v>
      </c>
      <c r="E305" s="5">
        <v>0</v>
      </c>
    </row>
    <row r="306" spans="1:5">
      <c r="A306" s="4" t="str">
        <f>"20228011103"</f>
        <v>20228011103</v>
      </c>
      <c r="B306" s="4" t="str">
        <f t="shared" si="4"/>
        <v>20220301</v>
      </c>
      <c r="C306" s="5">
        <v>0</v>
      </c>
      <c r="D306" s="5">
        <v>0</v>
      </c>
      <c r="E306" s="5">
        <v>0</v>
      </c>
    </row>
    <row r="307" spans="1:5">
      <c r="A307" s="4" t="str">
        <f>"20228011104"</f>
        <v>20228011104</v>
      </c>
      <c r="B307" s="4" t="str">
        <f t="shared" si="4"/>
        <v>20220301</v>
      </c>
      <c r="C307" s="5">
        <v>87.6</v>
      </c>
      <c r="D307" s="5">
        <v>80.1</v>
      </c>
      <c r="E307" s="5">
        <v>83.1</v>
      </c>
    </row>
    <row r="308" spans="1:5">
      <c r="A308" s="4" t="str">
        <f>"20228011105"</f>
        <v>20228011105</v>
      </c>
      <c r="B308" s="4" t="str">
        <f t="shared" si="4"/>
        <v>20220301</v>
      </c>
      <c r="C308" s="5">
        <v>0</v>
      </c>
      <c r="D308" s="5">
        <v>23.1</v>
      </c>
      <c r="E308" s="5">
        <v>13.86</v>
      </c>
    </row>
    <row r="309" spans="1:5">
      <c r="A309" s="4" t="str">
        <f>"20228011106"</f>
        <v>20228011106</v>
      </c>
      <c r="B309" s="4" t="str">
        <f t="shared" si="4"/>
        <v>20220301</v>
      </c>
      <c r="C309" s="5">
        <v>0</v>
      </c>
      <c r="D309" s="5">
        <v>0</v>
      </c>
      <c r="E309" s="5">
        <v>0</v>
      </c>
    </row>
    <row r="310" spans="1:5">
      <c r="A310" s="4" t="str">
        <f>"20228011107"</f>
        <v>20228011107</v>
      </c>
      <c r="B310" s="4" t="str">
        <f t="shared" si="4"/>
        <v>20220301</v>
      </c>
      <c r="C310" s="5">
        <v>0</v>
      </c>
      <c r="D310" s="5">
        <v>0</v>
      </c>
      <c r="E310" s="5">
        <v>0</v>
      </c>
    </row>
    <row r="311" spans="1:5">
      <c r="A311" s="4" t="str">
        <f>"20228011108"</f>
        <v>20228011108</v>
      </c>
      <c r="B311" s="4" t="str">
        <f t="shared" si="4"/>
        <v>20220301</v>
      </c>
      <c r="C311" s="5">
        <v>0</v>
      </c>
      <c r="D311" s="5">
        <v>0</v>
      </c>
      <c r="E311" s="5">
        <v>0</v>
      </c>
    </row>
    <row r="312" spans="1:5">
      <c r="A312" s="4" t="str">
        <f>"20228011109"</f>
        <v>20228011109</v>
      </c>
      <c r="B312" s="4" t="str">
        <f t="shared" si="4"/>
        <v>20220301</v>
      </c>
      <c r="C312" s="5">
        <v>94.1</v>
      </c>
      <c r="D312" s="5">
        <v>88.3</v>
      </c>
      <c r="E312" s="5">
        <v>90.62</v>
      </c>
    </row>
    <row r="313" spans="1:5">
      <c r="A313" s="4" t="str">
        <f>"20228011110"</f>
        <v>20228011110</v>
      </c>
      <c r="B313" s="4" t="str">
        <f t="shared" si="4"/>
        <v>20220301</v>
      </c>
      <c r="C313" s="5">
        <v>82.8</v>
      </c>
      <c r="D313" s="5">
        <v>75.9</v>
      </c>
      <c r="E313" s="5">
        <v>78.66</v>
      </c>
    </row>
    <row r="314" spans="1:5">
      <c r="A314" s="4" t="str">
        <f>"20228011111"</f>
        <v>20228011111</v>
      </c>
      <c r="B314" s="4" t="str">
        <f t="shared" si="4"/>
        <v>20220301</v>
      </c>
      <c r="C314" s="5">
        <v>0</v>
      </c>
      <c r="D314" s="5">
        <v>0</v>
      </c>
      <c r="E314" s="5">
        <v>0</v>
      </c>
    </row>
    <row r="315" spans="1:5">
      <c r="A315" s="4" t="str">
        <f>"20228011112"</f>
        <v>20228011112</v>
      </c>
      <c r="B315" s="4" t="str">
        <f t="shared" si="4"/>
        <v>20220301</v>
      </c>
      <c r="C315" s="5">
        <v>99.1</v>
      </c>
      <c r="D315" s="5">
        <v>86.3</v>
      </c>
      <c r="E315" s="5">
        <v>91.42</v>
      </c>
    </row>
    <row r="316" spans="1:5">
      <c r="A316" s="4" t="str">
        <f>"20228011113"</f>
        <v>20228011113</v>
      </c>
      <c r="B316" s="4" t="str">
        <f t="shared" si="4"/>
        <v>20220301</v>
      </c>
      <c r="C316" s="5">
        <v>80.9</v>
      </c>
      <c r="D316" s="5">
        <v>78.6</v>
      </c>
      <c r="E316" s="5">
        <v>79.52</v>
      </c>
    </row>
    <row r="317" spans="1:5">
      <c r="A317" s="4" t="str">
        <f>"20228011114"</f>
        <v>20228011114</v>
      </c>
      <c r="B317" s="4" t="str">
        <f t="shared" si="4"/>
        <v>20220301</v>
      </c>
      <c r="C317" s="5">
        <v>95.2</v>
      </c>
      <c r="D317" s="5">
        <v>87.5</v>
      </c>
      <c r="E317" s="5">
        <v>90.58</v>
      </c>
    </row>
    <row r="318" spans="1:5">
      <c r="A318" s="4" t="str">
        <f>"20228011115"</f>
        <v>20228011115</v>
      </c>
      <c r="B318" s="4" t="str">
        <f t="shared" si="4"/>
        <v>20220301</v>
      </c>
      <c r="C318" s="5">
        <v>0</v>
      </c>
      <c r="D318" s="5">
        <v>0</v>
      </c>
      <c r="E318" s="5">
        <v>0</v>
      </c>
    </row>
    <row r="319" spans="1:5">
      <c r="A319" s="4" t="str">
        <f>"20228011116"</f>
        <v>20228011116</v>
      </c>
      <c r="B319" s="4" t="str">
        <f t="shared" si="4"/>
        <v>20220301</v>
      </c>
      <c r="C319" s="5">
        <v>102.5</v>
      </c>
      <c r="D319" s="5">
        <v>94.5</v>
      </c>
      <c r="E319" s="5">
        <v>97.7</v>
      </c>
    </row>
    <row r="320" spans="1:5">
      <c r="A320" s="4" t="str">
        <f>"20228011117"</f>
        <v>20228011117</v>
      </c>
      <c r="B320" s="4" t="str">
        <f t="shared" si="4"/>
        <v>20220301</v>
      </c>
      <c r="C320" s="5">
        <v>89.9</v>
      </c>
      <c r="D320" s="5">
        <v>89.2</v>
      </c>
      <c r="E320" s="5">
        <v>89.48</v>
      </c>
    </row>
    <row r="321" spans="1:5">
      <c r="A321" s="4" t="str">
        <f>"20228011118"</f>
        <v>20228011118</v>
      </c>
      <c r="B321" s="4" t="str">
        <f t="shared" si="4"/>
        <v>20220301</v>
      </c>
      <c r="C321" s="5">
        <v>0</v>
      </c>
      <c r="D321" s="5">
        <v>0</v>
      </c>
      <c r="E321" s="5">
        <v>0</v>
      </c>
    </row>
    <row r="322" spans="1:5">
      <c r="A322" s="4" t="str">
        <f>"20228011119"</f>
        <v>20228011119</v>
      </c>
      <c r="B322" s="4" t="str">
        <f t="shared" si="4"/>
        <v>20220301</v>
      </c>
      <c r="C322" s="5">
        <v>0</v>
      </c>
      <c r="D322" s="5">
        <v>0</v>
      </c>
      <c r="E322" s="5">
        <v>0</v>
      </c>
    </row>
    <row r="323" spans="1:5">
      <c r="A323" s="4" t="str">
        <f>"20228011120"</f>
        <v>20228011120</v>
      </c>
      <c r="B323" s="4" t="str">
        <f t="shared" si="4"/>
        <v>20220301</v>
      </c>
      <c r="C323" s="5">
        <v>96.6</v>
      </c>
      <c r="D323" s="5">
        <v>89.7</v>
      </c>
      <c r="E323" s="5">
        <v>92.46</v>
      </c>
    </row>
    <row r="324" spans="1:5">
      <c r="A324" s="4" t="str">
        <f>"20228011121"</f>
        <v>20228011121</v>
      </c>
      <c r="B324" s="4" t="str">
        <f t="shared" ref="B324:B387" si="5">"20220301"</f>
        <v>20220301</v>
      </c>
      <c r="C324" s="5">
        <v>0</v>
      </c>
      <c r="D324" s="5">
        <v>0</v>
      </c>
      <c r="E324" s="5">
        <v>0</v>
      </c>
    </row>
    <row r="325" spans="1:5">
      <c r="A325" s="4" t="str">
        <f>"20228011122"</f>
        <v>20228011122</v>
      </c>
      <c r="B325" s="4" t="str">
        <f t="shared" si="5"/>
        <v>20220301</v>
      </c>
      <c r="C325" s="5">
        <v>86.1</v>
      </c>
      <c r="D325" s="5">
        <v>68.7</v>
      </c>
      <c r="E325" s="5">
        <v>75.66</v>
      </c>
    </row>
    <row r="326" spans="1:5">
      <c r="A326" s="4" t="str">
        <f>"20228011123"</f>
        <v>20228011123</v>
      </c>
      <c r="B326" s="4" t="str">
        <f t="shared" si="5"/>
        <v>20220301</v>
      </c>
      <c r="C326" s="5">
        <v>0</v>
      </c>
      <c r="D326" s="5">
        <v>0</v>
      </c>
      <c r="E326" s="5">
        <v>0</v>
      </c>
    </row>
    <row r="327" spans="1:5">
      <c r="A327" s="4" t="str">
        <f>"20228011124"</f>
        <v>20228011124</v>
      </c>
      <c r="B327" s="4" t="str">
        <f t="shared" si="5"/>
        <v>20220301</v>
      </c>
      <c r="C327" s="5">
        <v>73.6</v>
      </c>
      <c r="D327" s="5">
        <v>73.5</v>
      </c>
      <c r="E327" s="5">
        <v>73.54</v>
      </c>
    </row>
    <row r="328" spans="1:5">
      <c r="A328" s="4" t="str">
        <f>"20228011125"</f>
        <v>20228011125</v>
      </c>
      <c r="B328" s="4" t="str">
        <f t="shared" si="5"/>
        <v>20220301</v>
      </c>
      <c r="C328" s="5">
        <v>0</v>
      </c>
      <c r="D328" s="5">
        <v>0</v>
      </c>
      <c r="E328" s="5">
        <v>0</v>
      </c>
    </row>
    <row r="329" spans="1:5">
      <c r="A329" s="4" t="str">
        <f>"20228011126"</f>
        <v>20228011126</v>
      </c>
      <c r="B329" s="4" t="str">
        <f t="shared" si="5"/>
        <v>20220301</v>
      </c>
      <c r="C329" s="5">
        <v>71.9</v>
      </c>
      <c r="D329" s="5">
        <v>77.3</v>
      </c>
      <c r="E329" s="5">
        <v>75.14</v>
      </c>
    </row>
    <row r="330" spans="1:5">
      <c r="A330" s="4" t="str">
        <f>"20228011127"</f>
        <v>20228011127</v>
      </c>
      <c r="B330" s="4" t="str">
        <f t="shared" si="5"/>
        <v>20220301</v>
      </c>
      <c r="C330" s="5">
        <v>0</v>
      </c>
      <c r="D330" s="5">
        <v>0</v>
      </c>
      <c r="E330" s="5">
        <v>0</v>
      </c>
    </row>
    <row r="331" spans="1:5">
      <c r="A331" s="4" t="str">
        <f>"20228011128"</f>
        <v>20228011128</v>
      </c>
      <c r="B331" s="4" t="str">
        <f t="shared" si="5"/>
        <v>20220301</v>
      </c>
      <c r="C331" s="5">
        <v>0</v>
      </c>
      <c r="D331" s="5">
        <v>0</v>
      </c>
      <c r="E331" s="5">
        <v>0</v>
      </c>
    </row>
    <row r="332" spans="1:5">
      <c r="A332" s="4" t="str">
        <f>"20228011129"</f>
        <v>20228011129</v>
      </c>
      <c r="B332" s="4" t="str">
        <f t="shared" si="5"/>
        <v>20220301</v>
      </c>
      <c r="C332" s="5">
        <v>0</v>
      </c>
      <c r="D332" s="5">
        <v>0</v>
      </c>
      <c r="E332" s="5">
        <v>0</v>
      </c>
    </row>
    <row r="333" spans="1:5">
      <c r="A333" s="4" t="str">
        <f>"20228011130"</f>
        <v>20228011130</v>
      </c>
      <c r="B333" s="4" t="str">
        <f t="shared" si="5"/>
        <v>20220301</v>
      </c>
      <c r="C333" s="5">
        <v>0</v>
      </c>
      <c r="D333" s="5">
        <v>0</v>
      </c>
      <c r="E333" s="5">
        <v>0</v>
      </c>
    </row>
    <row r="334" spans="1:5">
      <c r="A334" s="4" t="str">
        <f>"20228011201"</f>
        <v>20228011201</v>
      </c>
      <c r="B334" s="4" t="str">
        <f t="shared" si="5"/>
        <v>20220301</v>
      </c>
      <c r="C334" s="5">
        <v>0</v>
      </c>
      <c r="D334" s="5">
        <v>0</v>
      </c>
      <c r="E334" s="5">
        <v>0</v>
      </c>
    </row>
    <row r="335" spans="1:5">
      <c r="A335" s="4" t="str">
        <f>"20228011202"</f>
        <v>20228011202</v>
      </c>
      <c r="B335" s="4" t="str">
        <f t="shared" si="5"/>
        <v>20220301</v>
      </c>
      <c r="C335" s="5">
        <v>90.7</v>
      </c>
      <c r="D335" s="5">
        <v>80.3</v>
      </c>
      <c r="E335" s="5">
        <v>84.46</v>
      </c>
    </row>
    <row r="336" spans="1:5">
      <c r="A336" s="4" t="str">
        <f>"20228011203"</f>
        <v>20228011203</v>
      </c>
      <c r="B336" s="4" t="str">
        <f t="shared" si="5"/>
        <v>20220301</v>
      </c>
      <c r="C336" s="5">
        <v>0</v>
      </c>
      <c r="D336" s="5">
        <v>0</v>
      </c>
      <c r="E336" s="5">
        <v>0</v>
      </c>
    </row>
    <row r="337" spans="1:5">
      <c r="A337" s="4" t="str">
        <f>"20228011204"</f>
        <v>20228011204</v>
      </c>
      <c r="B337" s="4" t="str">
        <f t="shared" si="5"/>
        <v>20220301</v>
      </c>
      <c r="C337" s="5">
        <v>0</v>
      </c>
      <c r="D337" s="5">
        <v>0</v>
      </c>
      <c r="E337" s="5">
        <v>0</v>
      </c>
    </row>
    <row r="338" spans="1:5">
      <c r="A338" s="4" t="str">
        <f>"20228011205"</f>
        <v>20228011205</v>
      </c>
      <c r="B338" s="4" t="str">
        <f t="shared" si="5"/>
        <v>20220301</v>
      </c>
      <c r="C338" s="5">
        <v>0</v>
      </c>
      <c r="D338" s="5">
        <v>0</v>
      </c>
      <c r="E338" s="5">
        <v>0</v>
      </c>
    </row>
    <row r="339" spans="1:5">
      <c r="A339" s="4" t="str">
        <f>"20228011206"</f>
        <v>20228011206</v>
      </c>
      <c r="B339" s="4" t="str">
        <f t="shared" si="5"/>
        <v>20220301</v>
      </c>
      <c r="C339" s="5">
        <v>88</v>
      </c>
      <c r="D339" s="5">
        <v>89.7</v>
      </c>
      <c r="E339" s="5">
        <v>89.02</v>
      </c>
    </row>
    <row r="340" spans="1:5">
      <c r="A340" s="4" t="str">
        <f>"20228011207"</f>
        <v>20228011207</v>
      </c>
      <c r="B340" s="4" t="str">
        <f t="shared" si="5"/>
        <v>20220301</v>
      </c>
      <c r="C340" s="5">
        <v>0</v>
      </c>
      <c r="D340" s="5">
        <v>0</v>
      </c>
      <c r="E340" s="5">
        <v>0</v>
      </c>
    </row>
    <row r="341" spans="1:5">
      <c r="A341" s="4" t="str">
        <f>"20228011208"</f>
        <v>20228011208</v>
      </c>
      <c r="B341" s="4" t="str">
        <f t="shared" si="5"/>
        <v>20220301</v>
      </c>
      <c r="C341" s="5">
        <v>95.6</v>
      </c>
      <c r="D341" s="5">
        <v>89.7</v>
      </c>
      <c r="E341" s="5">
        <v>92.06</v>
      </c>
    </row>
    <row r="342" spans="1:5">
      <c r="A342" s="4" t="str">
        <f>"20228011209"</f>
        <v>20228011209</v>
      </c>
      <c r="B342" s="4" t="str">
        <f t="shared" si="5"/>
        <v>20220301</v>
      </c>
      <c r="C342" s="5">
        <v>89.6</v>
      </c>
      <c r="D342" s="5">
        <v>78.6</v>
      </c>
      <c r="E342" s="5">
        <v>83</v>
      </c>
    </row>
    <row r="343" spans="1:5">
      <c r="A343" s="4" t="str">
        <f>"20228011210"</f>
        <v>20228011210</v>
      </c>
      <c r="B343" s="4" t="str">
        <f t="shared" si="5"/>
        <v>20220301</v>
      </c>
      <c r="C343" s="5">
        <v>0</v>
      </c>
      <c r="D343" s="5">
        <v>0</v>
      </c>
      <c r="E343" s="5">
        <v>0</v>
      </c>
    </row>
    <row r="344" spans="1:5">
      <c r="A344" s="4" t="str">
        <f>"20228011211"</f>
        <v>20228011211</v>
      </c>
      <c r="B344" s="4" t="str">
        <f t="shared" si="5"/>
        <v>20220301</v>
      </c>
      <c r="C344" s="5">
        <v>0</v>
      </c>
      <c r="D344" s="5">
        <v>0</v>
      </c>
      <c r="E344" s="5">
        <v>0</v>
      </c>
    </row>
    <row r="345" spans="1:5">
      <c r="A345" s="4" t="str">
        <f>"20228011212"</f>
        <v>20228011212</v>
      </c>
      <c r="B345" s="4" t="str">
        <f t="shared" si="5"/>
        <v>20220301</v>
      </c>
      <c r="C345" s="5">
        <v>0</v>
      </c>
      <c r="D345" s="5">
        <v>0</v>
      </c>
      <c r="E345" s="5">
        <v>0</v>
      </c>
    </row>
    <row r="346" spans="1:5">
      <c r="A346" s="4" t="str">
        <f>"20228011213"</f>
        <v>20228011213</v>
      </c>
      <c r="B346" s="4" t="str">
        <f t="shared" si="5"/>
        <v>20220301</v>
      </c>
      <c r="C346" s="5">
        <v>0</v>
      </c>
      <c r="D346" s="5">
        <v>0</v>
      </c>
      <c r="E346" s="5">
        <v>0</v>
      </c>
    </row>
    <row r="347" spans="1:5">
      <c r="A347" s="4" t="str">
        <f>"20228011214"</f>
        <v>20228011214</v>
      </c>
      <c r="B347" s="4" t="str">
        <f t="shared" si="5"/>
        <v>20220301</v>
      </c>
      <c r="C347" s="5">
        <v>0</v>
      </c>
      <c r="D347" s="5">
        <v>0</v>
      </c>
      <c r="E347" s="5">
        <v>0</v>
      </c>
    </row>
    <row r="348" spans="1:5">
      <c r="A348" s="4" t="str">
        <f>"20228011215"</f>
        <v>20228011215</v>
      </c>
      <c r="B348" s="4" t="str">
        <f t="shared" si="5"/>
        <v>20220301</v>
      </c>
      <c r="C348" s="5">
        <v>0</v>
      </c>
      <c r="D348" s="5">
        <v>0</v>
      </c>
      <c r="E348" s="5">
        <v>0</v>
      </c>
    </row>
    <row r="349" spans="1:5">
      <c r="A349" s="4" t="str">
        <f>"20228011216"</f>
        <v>20228011216</v>
      </c>
      <c r="B349" s="4" t="str">
        <f t="shared" si="5"/>
        <v>20220301</v>
      </c>
      <c r="C349" s="5">
        <v>71.8</v>
      </c>
      <c r="D349" s="5">
        <v>71.1</v>
      </c>
      <c r="E349" s="5">
        <v>71.38</v>
      </c>
    </row>
    <row r="350" spans="1:5">
      <c r="A350" s="4" t="str">
        <f>"20228011217"</f>
        <v>20228011217</v>
      </c>
      <c r="B350" s="4" t="str">
        <f t="shared" si="5"/>
        <v>20220301</v>
      </c>
      <c r="C350" s="5">
        <v>100.5</v>
      </c>
      <c r="D350" s="5">
        <v>89</v>
      </c>
      <c r="E350" s="5">
        <v>93.6</v>
      </c>
    </row>
    <row r="351" spans="1:5">
      <c r="A351" s="4" t="str">
        <f>"20228011218"</f>
        <v>20228011218</v>
      </c>
      <c r="B351" s="4" t="str">
        <f t="shared" si="5"/>
        <v>20220301</v>
      </c>
      <c r="C351" s="5">
        <v>0</v>
      </c>
      <c r="D351" s="5">
        <v>0</v>
      </c>
      <c r="E351" s="5">
        <v>0</v>
      </c>
    </row>
    <row r="352" spans="1:5">
      <c r="A352" s="4" t="str">
        <f>"20228011219"</f>
        <v>20228011219</v>
      </c>
      <c r="B352" s="4" t="str">
        <f t="shared" si="5"/>
        <v>20220301</v>
      </c>
      <c r="C352" s="5">
        <v>0</v>
      </c>
      <c r="D352" s="5">
        <v>0</v>
      </c>
      <c r="E352" s="5">
        <v>0</v>
      </c>
    </row>
    <row r="353" spans="1:5">
      <c r="A353" s="4" t="str">
        <f>"20228011220"</f>
        <v>20228011220</v>
      </c>
      <c r="B353" s="4" t="str">
        <f t="shared" si="5"/>
        <v>20220301</v>
      </c>
      <c r="C353" s="5">
        <v>83</v>
      </c>
      <c r="D353" s="5">
        <v>89.3</v>
      </c>
      <c r="E353" s="5">
        <v>86.78</v>
      </c>
    </row>
    <row r="354" spans="1:5">
      <c r="A354" s="4" t="str">
        <f>"20228011221"</f>
        <v>20228011221</v>
      </c>
      <c r="B354" s="4" t="str">
        <f t="shared" si="5"/>
        <v>20220301</v>
      </c>
      <c r="C354" s="5">
        <v>75.9</v>
      </c>
      <c r="D354" s="5">
        <v>77</v>
      </c>
      <c r="E354" s="5">
        <v>76.56</v>
      </c>
    </row>
    <row r="355" spans="1:5">
      <c r="A355" s="4" t="str">
        <f>"20228011222"</f>
        <v>20228011222</v>
      </c>
      <c r="B355" s="4" t="str">
        <f t="shared" si="5"/>
        <v>20220301</v>
      </c>
      <c r="C355" s="5">
        <v>0</v>
      </c>
      <c r="D355" s="5">
        <v>0</v>
      </c>
      <c r="E355" s="5">
        <v>0</v>
      </c>
    </row>
    <row r="356" spans="1:5">
      <c r="A356" s="4" t="str">
        <f>"20228011223"</f>
        <v>20228011223</v>
      </c>
      <c r="B356" s="4" t="str">
        <f t="shared" si="5"/>
        <v>20220301</v>
      </c>
      <c r="C356" s="5">
        <v>88.3</v>
      </c>
      <c r="D356" s="5">
        <v>78.3</v>
      </c>
      <c r="E356" s="5">
        <v>82.3</v>
      </c>
    </row>
    <row r="357" spans="1:5">
      <c r="A357" s="4" t="str">
        <f>"20228011224"</f>
        <v>20228011224</v>
      </c>
      <c r="B357" s="4" t="str">
        <f t="shared" si="5"/>
        <v>20220301</v>
      </c>
      <c r="C357" s="5">
        <v>75.6</v>
      </c>
      <c r="D357" s="5">
        <v>81.6</v>
      </c>
      <c r="E357" s="5">
        <v>79.2</v>
      </c>
    </row>
    <row r="358" spans="1:5">
      <c r="A358" s="4" t="str">
        <f>"20228011225"</f>
        <v>20228011225</v>
      </c>
      <c r="B358" s="4" t="str">
        <f t="shared" si="5"/>
        <v>20220301</v>
      </c>
      <c r="C358" s="5">
        <v>0</v>
      </c>
      <c r="D358" s="5">
        <v>0</v>
      </c>
      <c r="E358" s="5">
        <v>0</v>
      </c>
    </row>
    <row r="359" spans="1:5">
      <c r="A359" s="4" t="str">
        <f>"20228011226"</f>
        <v>20228011226</v>
      </c>
      <c r="B359" s="4" t="str">
        <f t="shared" si="5"/>
        <v>20220301</v>
      </c>
      <c r="C359" s="5">
        <v>93</v>
      </c>
      <c r="D359" s="5">
        <v>81.3</v>
      </c>
      <c r="E359" s="5">
        <v>85.98</v>
      </c>
    </row>
    <row r="360" spans="1:5">
      <c r="A360" s="4" t="str">
        <f>"20228011227"</f>
        <v>20228011227</v>
      </c>
      <c r="B360" s="4" t="str">
        <f t="shared" si="5"/>
        <v>20220301</v>
      </c>
      <c r="C360" s="5">
        <v>87.9</v>
      </c>
      <c r="D360" s="5">
        <v>82.8</v>
      </c>
      <c r="E360" s="5">
        <v>84.84</v>
      </c>
    </row>
    <row r="361" spans="1:5">
      <c r="A361" s="4" t="str">
        <f>"20228011228"</f>
        <v>20228011228</v>
      </c>
      <c r="B361" s="4" t="str">
        <f t="shared" si="5"/>
        <v>20220301</v>
      </c>
      <c r="C361" s="5">
        <v>86.4</v>
      </c>
      <c r="D361" s="5">
        <v>78.3</v>
      </c>
      <c r="E361" s="5">
        <v>81.54</v>
      </c>
    </row>
    <row r="362" spans="1:5">
      <c r="A362" s="4" t="str">
        <f>"20228011229"</f>
        <v>20228011229</v>
      </c>
      <c r="B362" s="4" t="str">
        <f t="shared" si="5"/>
        <v>20220301</v>
      </c>
      <c r="C362" s="5">
        <v>92.1</v>
      </c>
      <c r="D362" s="5">
        <v>83.9</v>
      </c>
      <c r="E362" s="5">
        <v>87.18</v>
      </c>
    </row>
    <row r="363" spans="1:5">
      <c r="A363" s="4" t="str">
        <f>"20228011230"</f>
        <v>20228011230</v>
      </c>
      <c r="B363" s="4" t="str">
        <f t="shared" si="5"/>
        <v>20220301</v>
      </c>
      <c r="C363" s="5">
        <v>0</v>
      </c>
      <c r="D363" s="5">
        <v>0</v>
      </c>
      <c r="E363" s="5">
        <v>0</v>
      </c>
    </row>
    <row r="364" spans="1:5">
      <c r="A364" s="4" t="str">
        <f>"20228011301"</f>
        <v>20228011301</v>
      </c>
      <c r="B364" s="4" t="str">
        <f t="shared" si="5"/>
        <v>20220301</v>
      </c>
      <c r="C364" s="5">
        <v>0</v>
      </c>
      <c r="D364" s="5">
        <v>0</v>
      </c>
      <c r="E364" s="5">
        <v>0</v>
      </c>
    </row>
    <row r="365" spans="1:5">
      <c r="A365" s="4" t="str">
        <f>"20228011302"</f>
        <v>20228011302</v>
      </c>
      <c r="B365" s="4" t="str">
        <f t="shared" si="5"/>
        <v>20220301</v>
      </c>
      <c r="C365" s="5">
        <v>0</v>
      </c>
      <c r="D365" s="5">
        <v>0</v>
      </c>
      <c r="E365" s="5">
        <v>0</v>
      </c>
    </row>
    <row r="366" spans="1:5">
      <c r="A366" s="4" t="str">
        <f>"20228011303"</f>
        <v>20228011303</v>
      </c>
      <c r="B366" s="4" t="str">
        <f t="shared" si="5"/>
        <v>20220301</v>
      </c>
      <c r="C366" s="5">
        <v>71.1</v>
      </c>
      <c r="D366" s="5">
        <v>73</v>
      </c>
      <c r="E366" s="5">
        <v>72.24</v>
      </c>
    </row>
    <row r="367" spans="1:5">
      <c r="A367" s="4" t="str">
        <f>"20228011304"</f>
        <v>20228011304</v>
      </c>
      <c r="B367" s="4" t="str">
        <f t="shared" si="5"/>
        <v>20220301</v>
      </c>
      <c r="C367" s="5">
        <v>0</v>
      </c>
      <c r="D367" s="5">
        <v>0</v>
      </c>
      <c r="E367" s="5">
        <v>0</v>
      </c>
    </row>
    <row r="368" spans="1:5">
      <c r="A368" s="4" t="str">
        <f>"20228011305"</f>
        <v>20228011305</v>
      </c>
      <c r="B368" s="4" t="str">
        <f t="shared" si="5"/>
        <v>20220301</v>
      </c>
      <c r="C368" s="5">
        <v>94</v>
      </c>
      <c r="D368" s="5">
        <v>89.9</v>
      </c>
      <c r="E368" s="5">
        <v>91.54</v>
      </c>
    </row>
    <row r="369" spans="1:5">
      <c r="A369" s="4" t="str">
        <f>"20228011306"</f>
        <v>20228011306</v>
      </c>
      <c r="B369" s="4" t="str">
        <f t="shared" si="5"/>
        <v>20220301</v>
      </c>
      <c r="C369" s="5">
        <v>0</v>
      </c>
      <c r="D369" s="5">
        <v>0</v>
      </c>
      <c r="E369" s="5">
        <v>0</v>
      </c>
    </row>
    <row r="370" spans="1:5">
      <c r="A370" s="4" t="str">
        <f>"20228011307"</f>
        <v>20228011307</v>
      </c>
      <c r="B370" s="4" t="str">
        <f t="shared" si="5"/>
        <v>20220301</v>
      </c>
      <c r="C370" s="5">
        <v>0</v>
      </c>
      <c r="D370" s="5">
        <v>0</v>
      </c>
      <c r="E370" s="5">
        <v>0</v>
      </c>
    </row>
    <row r="371" spans="1:5">
      <c r="A371" s="4" t="str">
        <f>"20228011308"</f>
        <v>20228011308</v>
      </c>
      <c r="B371" s="4" t="str">
        <f t="shared" si="5"/>
        <v>20220301</v>
      </c>
      <c r="C371" s="5">
        <v>100.2</v>
      </c>
      <c r="D371" s="5">
        <v>88.2</v>
      </c>
      <c r="E371" s="5">
        <v>93</v>
      </c>
    </row>
    <row r="372" spans="1:5">
      <c r="A372" s="4" t="str">
        <f>"20228011309"</f>
        <v>20228011309</v>
      </c>
      <c r="B372" s="4" t="str">
        <f t="shared" si="5"/>
        <v>20220301</v>
      </c>
      <c r="C372" s="5">
        <v>105.5</v>
      </c>
      <c r="D372" s="5">
        <v>89.2</v>
      </c>
      <c r="E372" s="5">
        <v>95.72</v>
      </c>
    </row>
    <row r="373" spans="1:5">
      <c r="A373" s="4" t="str">
        <f>"20228011310"</f>
        <v>20228011310</v>
      </c>
      <c r="B373" s="4" t="str">
        <f t="shared" si="5"/>
        <v>20220301</v>
      </c>
      <c r="C373" s="5">
        <v>92.5</v>
      </c>
      <c r="D373" s="5">
        <v>83.4</v>
      </c>
      <c r="E373" s="5">
        <v>87.04</v>
      </c>
    </row>
    <row r="374" spans="1:5">
      <c r="A374" s="4" t="str">
        <f>"20228011311"</f>
        <v>20228011311</v>
      </c>
      <c r="B374" s="4" t="str">
        <f t="shared" si="5"/>
        <v>20220301</v>
      </c>
      <c r="C374" s="5">
        <v>100.2</v>
      </c>
      <c r="D374" s="5">
        <v>86.7</v>
      </c>
      <c r="E374" s="5">
        <v>92.1</v>
      </c>
    </row>
    <row r="375" spans="1:5">
      <c r="A375" s="4" t="str">
        <f>"20228011312"</f>
        <v>20228011312</v>
      </c>
      <c r="B375" s="4" t="str">
        <f t="shared" si="5"/>
        <v>20220301</v>
      </c>
      <c r="C375" s="5">
        <v>0</v>
      </c>
      <c r="D375" s="5">
        <v>0</v>
      </c>
      <c r="E375" s="5">
        <v>0</v>
      </c>
    </row>
    <row r="376" spans="1:5">
      <c r="A376" s="4" t="str">
        <f>"20228011313"</f>
        <v>20228011313</v>
      </c>
      <c r="B376" s="4" t="str">
        <f t="shared" si="5"/>
        <v>20220301</v>
      </c>
      <c r="C376" s="5">
        <v>92.8</v>
      </c>
      <c r="D376" s="5">
        <v>83.2</v>
      </c>
      <c r="E376" s="5">
        <v>87.04</v>
      </c>
    </row>
    <row r="377" spans="1:5">
      <c r="A377" s="4" t="str">
        <f>"20228011314"</f>
        <v>20228011314</v>
      </c>
      <c r="B377" s="4" t="str">
        <f t="shared" si="5"/>
        <v>20220301</v>
      </c>
      <c r="C377" s="5">
        <v>100.1</v>
      </c>
      <c r="D377" s="5">
        <v>89.1</v>
      </c>
      <c r="E377" s="5">
        <v>93.5</v>
      </c>
    </row>
    <row r="378" spans="1:5">
      <c r="A378" s="4" t="str">
        <f>"20228011315"</f>
        <v>20228011315</v>
      </c>
      <c r="B378" s="4" t="str">
        <f t="shared" si="5"/>
        <v>20220301</v>
      </c>
      <c r="C378" s="5">
        <v>98.2</v>
      </c>
      <c r="D378" s="5">
        <v>79.2</v>
      </c>
      <c r="E378" s="5">
        <v>86.8</v>
      </c>
    </row>
    <row r="379" spans="1:5">
      <c r="A379" s="4" t="str">
        <f>"20228011316"</f>
        <v>20228011316</v>
      </c>
      <c r="B379" s="4" t="str">
        <f t="shared" si="5"/>
        <v>20220301</v>
      </c>
      <c r="C379" s="5">
        <v>0</v>
      </c>
      <c r="D379" s="5">
        <v>0</v>
      </c>
      <c r="E379" s="5">
        <v>0</v>
      </c>
    </row>
    <row r="380" spans="1:5">
      <c r="A380" s="4" t="str">
        <f>"20228011317"</f>
        <v>20228011317</v>
      </c>
      <c r="B380" s="4" t="str">
        <f t="shared" si="5"/>
        <v>20220301</v>
      </c>
      <c r="C380" s="5">
        <v>0</v>
      </c>
      <c r="D380" s="5">
        <v>0</v>
      </c>
      <c r="E380" s="5">
        <v>0</v>
      </c>
    </row>
    <row r="381" spans="1:5">
      <c r="A381" s="4" t="str">
        <f>"20228011318"</f>
        <v>20228011318</v>
      </c>
      <c r="B381" s="4" t="str">
        <f t="shared" si="5"/>
        <v>20220301</v>
      </c>
      <c r="C381" s="5">
        <v>0</v>
      </c>
      <c r="D381" s="5">
        <v>0</v>
      </c>
      <c r="E381" s="5">
        <v>0</v>
      </c>
    </row>
    <row r="382" spans="1:5">
      <c r="A382" s="4" t="str">
        <f>"20228011319"</f>
        <v>20228011319</v>
      </c>
      <c r="B382" s="4" t="str">
        <f t="shared" si="5"/>
        <v>20220301</v>
      </c>
      <c r="C382" s="5">
        <v>87.3</v>
      </c>
      <c r="D382" s="5">
        <v>87.1</v>
      </c>
      <c r="E382" s="5">
        <v>87.18</v>
      </c>
    </row>
    <row r="383" spans="1:5">
      <c r="A383" s="4" t="str">
        <f>"20228011320"</f>
        <v>20228011320</v>
      </c>
      <c r="B383" s="4" t="str">
        <f t="shared" si="5"/>
        <v>20220301</v>
      </c>
      <c r="C383" s="5">
        <v>95.6</v>
      </c>
      <c r="D383" s="5">
        <v>91.2</v>
      </c>
      <c r="E383" s="5">
        <v>92.96</v>
      </c>
    </row>
    <row r="384" spans="1:5">
      <c r="A384" s="4" t="str">
        <f>"20228011321"</f>
        <v>20228011321</v>
      </c>
      <c r="B384" s="4" t="str">
        <f t="shared" si="5"/>
        <v>20220301</v>
      </c>
      <c r="C384" s="5">
        <v>0</v>
      </c>
      <c r="D384" s="5">
        <v>0</v>
      </c>
      <c r="E384" s="5">
        <v>0</v>
      </c>
    </row>
    <row r="385" spans="1:5">
      <c r="A385" s="4" t="str">
        <f>"20228011322"</f>
        <v>20228011322</v>
      </c>
      <c r="B385" s="4" t="str">
        <f t="shared" si="5"/>
        <v>20220301</v>
      </c>
      <c r="C385" s="5">
        <v>104</v>
      </c>
      <c r="D385" s="5">
        <v>91.8</v>
      </c>
      <c r="E385" s="5">
        <v>96.68</v>
      </c>
    </row>
    <row r="386" spans="1:5">
      <c r="A386" s="4" t="str">
        <f>"20228011323"</f>
        <v>20228011323</v>
      </c>
      <c r="B386" s="4" t="str">
        <f t="shared" si="5"/>
        <v>20220301</v>
      </c>
      <c r="C386" s="5">
        <v>102.7</v>
      </c>
      <c r="D386" s="5">
        <v>72.6</v>
      </c>
      <c r="E386" s="5">
        <v>84.64</v>
      </c>
    </row>
    <row r="387" spans="1:5">
      <c r="A387" s="4" t="str">
        <f>"20228011324"</f>
        <v>20228011324</v>
      </c>
      <c r="B387" s="4" t="str">
        <f t="shared" si="5"/>
        <v>20220301</v>
      </c>
      <c r="C387" s="5">
        <v>78.2</v>
      </c>
      <c r="D387" s="5">
        <v>86.7</v>
      </c>
      <c r="E387" s="5">
        <v>83.3</v>
      </c>
    </row>
    <row r="388" spans="1:5">
      <c r="A388" s="4" t="str">
        <f>"20228011325"</f>
        <v>20228011325</v>
      </c>
      <c r="B388" s="4" t="str">
        <f t="shared" ref="B388:B451" si="6">"20220301"</f>
        <v>20220301</v>
      </c>
      <c r="C388" s="5">
        <v>97.1</v>
      </c>
      <c r="D388" s="5">
        <v>90.8</v>
      </c>
      <c r="E388" s="5">
        <v>93.32</v>
      </c>
    </row>
    <row r="389" spans="1:5">
      <c r="A389" s="4" t="str">
        <f>"20228011326"</f>
        <v>20228011326</v>
      </c>
      <c r="B389" s="4" t="str">
        <f t="shared" si="6"/>
        <v>20220301</v>
      </c>
      <c r="C389" s="5">
        <v>0</v>
      </c>
      <c r="D389" s="5">
        <v>0</v>
      </c>
      <c r="E389" s="5">
        <v>0</v>
      </c>
    </row>
    <row r="390" spans="1:5">
      <c r="A390" s="4" t="str">
        <f>"20228011327"</f>
        <v>20228011327</v>
      </c>
      <c r="B390" s="4" t="str">
        <f t="shared" si="6"/>
        <v>20220301</v>
      </c>
      <c r="C390" s="5">
        <v>0</v>
      </c>
      <c r="D390" s="5">
        <v>0</v>
      </c>
      <c r="E390" s="5">
        <v>0</v>
      </c>
    </row>
    <row r="391" spans="1:5">
      <c r="A391" s="4" t="str">
        <f>"20228011328"</f>
        <v>20228011328</v>
      </c>
      <c r="B391" s="4" t="str">
        <f t="shared" si="6"/>
        <v>20220301</v>
      </c>
      <c r="C391" s="5">
        <v>0</v>
      </c>
      <c r="D391" s="5">
        <v>0</v>
      </c>
      <c r="E391" s="5">
        <v>0</v>
      </c>
    </row>
    <row r="392" spans="1:5">
      <c r="A392" s="4" t="str">
        <f>"20228011329"</f>
        <v>20228011329</v>
      </c>
      <c r="B392" s="4" t="str">
        <f t="shared" si="6"/>
        <v>20220301</v>
      </c>
      <c r="C392" s="5">
        <v>0</v>
      </c>
      <c r="D392" s="5">
        <v>0</v>
      </c>
      <c r="E392" s="5">
        <v>0</v>
      </c>
    </row>
    <row r="393" spans="1:5">
      <c r="A393" s="4" t="str">
        <f>"20228011330"</f>
        <v>20228011330</v>
      </c>
      <c r="B393" s="4" t="str">
        <f t="shared" si="6"/>
        <v>20220301</v>
      </c>
      <c r="C393" s="5">
        <v>97.9</v>
      </c>
      <c r="D393" s="5">
        <v>90.7</v>
      </c>
      <c r="E393" s="5">
        <v>93.58</v>
      </c>
    </row>
    <row r="394" spans="1:5">
      <c r="A394" s="4" t="str">
        <f>"20228011401"</f>
        <v>20228011401</v>
      </c>
      <c r="B394" s="4" t="str">
        <f t="shared" si="6"/>
        <v>20220301</v>
      </c>
      <c r="C394" s="5">
        <v>94.1</v>
      </c>
      <c r="D394" s="5">
        <v>82.5</v>
      </c>
      <c r="E394" s="5">
        <v>87.14</v>
      </c>
    </row>
    <row r="395" spans="1:5">
      <c r="A395" s="4" t="str">
        <f>"20228011402"</f>
        <v>20228011402</v>
      </c>
      <c r="B395" s="4" t="str">
        <f t="shared" si="6"/>
        <v>20220301</v>
      </c>
      <c r="C395" s="5">
        <v>81</v>
      </c>
      <c r="D395" s="5">
        <v>85.4</v>
      </c>
      <c r="E395" s="5">
        <v>83.64</v>
      </c>
    </row>
    <row r="396" spans="1:5">
      <c r="A396" s="4" t="str">
        <f>"20228011403"</f>
        <v>20228011403</v>
      </c>
      <c r="B396" s="4" t="str">
        <f t="shared" si="6"/>
        <v>20220301</v>
      </c>
      <c r="C396" s="5">
        <v>72.6</v>
      </c>
      <c r="D396" s="5">
        <v>78.3</v>
      </c>
      <c r="E396" s="5">
        <v>76.02</v>
      </c>
    </row>
    <row r="397" spans="1:5">
      <c r="A397" s="4" t="str">
        <f>"20228011404"</f>
        <v>20228011404</v>
      </c>
      <c r="B397" s="4" t="str">
        <f t="shared" si="6"/>
        <v>20220301</v>
      </c>
      <c r="C397" s="5">
        <v>90.1</v>
      </c>
      <c r="D397" s="5">
        <v>89.2</v>
      </c>
      <c r="E397" s="5">
        <v>89.56</v>
      </c>
    </row>
    <row r="398" spans="1:5">
      <c r="A398" s="4" t="str">
        <f>"20228011405"</f>
        <v>20228011405</v>
      </c>
      <c r="B398" s="4" t="str">
        <f t="shared" si="6"/>
        <v>20220301</v>
      </c>
      <c r="C398" s="5">
        <v>88.5</v>
      </c>
      <c r="D398" s="5">
        <v>77</v>
      </c>
      <c r="E398" s="5">
        <v>81.6</v>
      </c>
    </row>
    <row r="399" spans="1:5">
      <c r="A399" s="4" t="str">
        <f>"20228011406"</f>
        <v>20228011406</v>
      </c>
      <c r="B399" s="4" t="str">
        <f t="shared" si="6"/>
        <v>20220301</v>
      </c>
      <c r="C399" s="5">
        <v>91.3</v>
      </c>
      <c r="D399" s="5">
        <v>77.7</v>
      </c>
      <c r="E399" s="5">
        <v>83.14</v>
      </c>
    </row>
    <row r="400" spans="1:5">
      <c r="A400" s="4" t="str">
        <f>"20228011407"</f>
        <v>20228011407</v>
      </c>
      <c r="B400" s="4" t="str">
        <f t="shared" si="6"/>
        <v>20220301</v>
      </c>
      <c r="C400" s="5">
        <v>82.7</v>
      </c>
      <c r="D400" s="5">
        <v>80.3</v>
      </c>
      <c r="E400" s="5">
        <v>81.26</v>
      </c>
    </row>
    <row r="401" spans="1:5">
      <c r="A401" s="4" t="str">
        <f>"20228011408"</f>
        <v>20228011408</v>
      </c>
      <c r="B401" s="4" t="str">
        <f t="shared" si="6"/>
        <v>20220301</v>
      </c>
      <c r="C401" s="5">
        <v>0</v>
      </c>
      <c r="D401" s="5">
        <v>0</v>
      </c>
      <c r="E401" s="5">
        <v>0</v>
      </c>
    </row>
    <row r="402" spans="1:5">
      <c r="A402" s="4" t="str">
        <f>"20228011409"</f>
        <v>20228011409</v>
      </c>
      <c r="B402" s="4" t="str">
        <f t="shared" si="6"/>
        <v>20220301</v>
      </c>
      <c r="C402" s="5">
        <v>102.1</v>
      </c>
      <c r="D402" s="5">
        <v>86.2</v>
      </c>
      <c r="E402" s="5">
        <v>92.56</v>
      </c>
    </row>
    <row r="403" spans="1:5">
      <c r="A403" s="4" t="str">
        <f>"20228011410"</f>
        <v>20228011410</v>
      </c>
      <c r="B403" s="4" t="str">
        <f t="shared" si="6"/>
        <v>20220301</v>
      </c>
      <c r="C403" s="5">
        <v>88.8</v>
      </c>
      <c r="D403" s="5">
        <v>83.5</v>
      </c>
      <c r="E403" s="5">
        <v>85.62</v>
      </c>
    </row>
    <row r="404" spans="1:5">
      <c r="A404" s="4" t="str">
        <f>"20228011411"</f>
        <v>20228011411</v>
      </c>
      <c r="B404" s="4" t="str">
        <f t="shared" si="6"/>
        <v>20220301</v>
      </c>
      <c r="C404" s="5">
        <v>0</v>
      </c>
      <c r="D404" s="5">
        <v>0</v>
      </c>
      <c r="E404" s="5">
        <v>0</v>
      </c>
    </row>
    <row r="405" spans="1:5">
      <c r="A405" s="4" t="str">
        <f>"20228011412"</f>
        <v>20228011412</v>
      </c>
      <c r="B405" s="4" t="str">
        <f t="shared" si="6"/>
        <v>20220301</v>
      </c>
      <c r="C405" s="5">
        <v>100.1</v>
      </c>
      <c r="D405" s="5">
        <v>91.2</v>
      </c>
      <c r="E405" s="5">
        <v>94.76</v>
      </c>
    </row>
    <row r="406" spans="1:5">
      <c r="A406" s="4" t="str">
        <f>"20228011413"</f>
        <v>20228011413</v>
      </c>
      <c r="B406" s="4" t="str">
        <f t="shared" si="6"/>
        <v>20220301</v>
      </c>
      <c r="C406" s="5">
        <v>91.7</v>
      </c>
      <c r="D406" s="5">
        <v>87.5</v>
      </c>
      <c r="E406" s="5">
        <v>89.18</v>
      </c>
    </row>
    <row r="407" spans="1:5">
      <c r="A407" s="4" t="str">
        <f>"20228011414"</f>
        <v>20228011414</v>
      </c>
      <c r="B407" s="4" t="str">
        <f t="shared" si="6"/>
        <v>20220301</v>
      </c>
      <c r="C407" s="5">
        <v>90.5</v>
      </c>
      <c r="D407" s="5">
        <v>83.9</v>
      </c>
      <c r="E407" s="5">
        <v>86.54</v>
      </c>
    </row>
    <row r="408" spans="1:5">
      <c r="A408" s="4" t="str">
        <f>"20228011415"</f>
        <v>20228011415</v>
      </c>
      <c r="B408" s="4" t="str">
        <f t="shared" si="6"/>
        <v>20220301</v>
      </c>
      <c r="C408" s="5">
        <v>83.5</v>
      </c>
      <c r="D408" s="5">
        <v>95.7</v>
      </c>
      <c r="E408" s="5">
        <v>90.82</v>
      </c>
    </row>
    <row r="409" spans="1:5">
      <c r="A409" s="4" t="str">
        <f>"20228011416"</f>
        <v>20228011416</v>
      </c>
      <c r="B409" s="4" t="str">
        <f t="shared" si="6"/>
        <v>20220301</v>
      </c>
      <c r="C409" s="5">
        <v>0</v>
      </c>
      <c r="D409" s="5">
        <v>0</v>
      </c>
      <c r="E409" s="5">
        <v>0</v>
      </c>
    </row>
    <row r="410" spans="1:5">
      <c r="A410" s="4" t="str">
        <f>"20228011417"</f>
        <v>20228011417</v>
      </c>
      <c r="B410" s="4" t="str">
        <f t="shared" si="6"/>
        <v>20220301</v>
      </c>
      <c r="C410" s="5">
        <v>93.5</v>
      </c>
      <c r="D410" s="5">
        <v>68.6</v>
      </c>
      <c r="E410" s="5">
        <v>78.56</v>
      </c>
    </row>
    <row r="411" spans="1:5">
      <c r="A411" s="4" t="str">
        <f>"20228011418"</f>
        <v>20228011418</v>
      </c>
      <c r="B411" s="4" t="str">
        <f t="shared" si="6"/>
        <v>20220301</v>
      </c>
      <c r="C411" s="5">
        <v>96.9</v>
      </c>
      <c r="D411" s="5">
        <v>83.8</v>
      </c>
      <c r="E411" s="5">
        <v>89.04</v>
      </c>
    </row>
    <row r="412" spans="1:5">
      <c r="A412" s="4" t="str">
        <f>"20228011419"</f>
        <v>20228011419</v>
      </c>
      <c r="B412" s="4" t="str">
        <f t="shared" si="6"/>
        <v>20220301</v>
      </c>
      <c r="C412" s="5">
        <v>0</v>
      </c>
      <c r="D412" s="5">
        <v>0</v>
      </c>
      <c r="E412" s="5">
        <v>0</v>
      </c>
    </row>
    <row r="413" spans="1:5">
      <c r="A413" s="4" t="str">
        <f>"20228011420"</f>
        <v>20228011420</v>
      </c>
      <c r="B413" s="4" t="str">
        <f t="shared" si="6"/>
        <v>20220301</v>
      </c>
      <c r="C413" s="5">
        <v>82.9</v>
      </c>
      <c r="D413" s="5">
        <v>83</v>
      </c>
      <c r="E413" s="5">
        <v>82.96</v>
      </c>
    </row>
    <row r="414" spans="1:5">
      <c r="A414" s="4" t="str">
        <f>"20228011421"</f>
        <v>20228011421</v>
      </c>
      <c r="B414" s="4" t="str">
        <f t="shared" si="6"/>
        <v>20220301</v>
      </c>
      <c r="C414" s="5">
        <v>82.1</v>
      </c>
      <c r="D414" s="5">
        <v>72.4</v>
      </c>
      <c r="E414" s="5">
        <v>76.28</v>
      </c>
    </row>
    <row r="415" spans="1:5">
      <c r="A415" s="4" t="str">
        <f>"20228011422"</f>
        <v>20228011422</v>
      </c>
      <c r="B415" s="4" t="str">
        <f t="shared" si="6"/>
        <v>20220301</v>
      </c>
      <c r="C415" s="5">
        <v>71.4</v>
      </c>
      <c r="D415" s="5">
        <v>79.8</v>
      </c>
      <c r="E415" s="5">
        <v>76.44</v>
      </c>
    </row>
    <row r="416" spans="1:5">
      <c r="A416" s="4" t="str">
        <f>"20228011423"</f>
        <v>20228011423</v>
      </c>
      <c r="B416" s="4" t="str">
        <f t="shared" si="6"/>
        <v>20220301</v>
      </c>
      <c r="C416" s="5">
        <v>0</v>
      </c>
      <c r="D416" s="5">
        <v>0</v>
      </c>
      <c r="E416" s="5">
        <v>0</v>
      </c>
    </row>
    <row r="417" spans="1:5">
      <c r="A417" s="4" t="str">
        <f>"20228011424"</f>
        <v>20228011424</v>
      </c>
      <c r="B417" s="4" t="str">
        <f t="shared" si="6"/>
        <v>20220301</v>
      </c>
      <c r="C417" s="5">
        <v>94.7</v>
      </c>
      <c r="D417" s="5">
        <v>71.5</v>
      </c>
      <c r="E417" s="5">
        <v>80.78</v>
      </c>
    </row>
    <row r="418" spans="1:5">
      <c r="A418" s="4" t="str">
        <f>"20228011425"</f>
        <v>20228011425</v>
      </c>
      <c r="B418" s="4" t="str">
        <f t="shared" si="6"/>
        <v>20220301</v>
      </c>
      <c r="C418" s="5">
        <v>0</v>
      </c>
      <c r="D418" s="5">
        <v>0</v>
      </c>
      <c r="E418" s="5">
        <v>0</v>
      </c>
    </row>
    <row r="419" spans="1:5">
      <c r="A419" s="4" t="str">
        <f>"20228011426"</f>
        <v>20228011426</v>
      </c>
      <c r="B419" s="4" t="str">
        <f t="shared" si="6"/>
        <v>20220301</v>
      </c>
      <c r="C419" s="5">
        <v>0</v>
      </c>
      <c r="D419" s="5">
        <v>0</v>
      </c>
      <c r="E419" s="5">
        <v>0</v>
      </c>
    </row>
    <row r="420" spans="1:5">
      <c r="A420" s="4" t="str">
        <f>"20228011427"</f>
        <v>20228011427</v>
      </c>
      <c r="B420" s="4" t="str">
        <f t="shared" si="6"/>
        <v>20220301</v>
      </c>
      <c r="C420" s="5">
        <v>85.2</v>
      </c>
      <c r="D420" s="5">
        <v>85</v>
      </c>
      <c r="E420" s="5">
        <v>85.08</v>
      </c>
    </row>
    <row r="421" spans="1:5">
      <c r="A421" s="4" t="str">
        <f>"20228011428"</f>
        <v>20228011428</v>
      </c>
      <c r="B421" s="4" t="str">
        <f t="shared" si="6"/>
        <v>20220301</v>
      </c>
      <c r="C421" s="5">
        <v>0</v>
      </c>
      <c r="D421" s="5">
        <v>0</v>
      </c>
      <c r="E421" s="5">
        <v>0</v>
      </c>
    </row>
    <row r="422" spans="1:5">
      <c r="A422" s="4" t="str">
        <f>"20228011429"</f>
        <v>20228011429</v>
      </c>
      <c r="B422" s="4" t="str">
        <f t="shared" si="6"/>
        <v>20220301</v>
      </c>
      <c r="C422" s="5">
        <v>0</v>
      </c>
      <c r="D422" s="5">
        <v>0</v>
      </c>
      <c r="E422" s="5">
        <v>0</v>
      </c>
    </row>
    <row r="423" spans="1:5">
      <c r="A423" s="4" t="str">
        <f>"20228011430"</f>
        <v>20228011430</v>
      </c>
      <c r="B423" s="4" t="str">
        <f t="shared" si="6"/>
        <v>20220301</v>
      </c>
      <c r="C423" s="5">
        <v>71.7</v>
      </c>
      <c r="D423" s="5">
        <v>71.7</v>
      </c>
      <c r="E423" s="5">
        <v>71.7</v>
      </c>
    </row>
    <row r="424" spans="1:5">
      <c r="A424" s="4" t="str">
        <f>"20228011501"</f>
        <v>20228011501</v>
      </c>
      <c r="B424" s="4" t="str">
        <f t="shared" si="6"/>
        <v>20220301</v>
      </c>
      <c r="C424" s="5">
        <v>94.2</v>
      </c>
      <c r="D424" s="5">
        <v>96.1</v>
      </c>
      <c r="E424" s="5">
        <v>95.34</v>
      </c>
    </row>
    <row r="425" spans="1:5">
      <c r="A425" s="4" t="str">
        <f>"20228011502"</f>
        <v>20228011502</v>
      </c>
      <c r="B425" s="4" t="str">
        <f t="shared" si="6"/>
        <v>20220301</v>
      </c>
      <c r="C425" s="5">
        <v>0</v>
      </c>
      <c r="D425" s="5">
        <v>0</v>
      </c>
      <c r="E425" s="5">
        <v>0</v>
      </c>
    </row>
    <row r="426" spans="1:5">
      <c r="A426" s="4" t="str">
        <f>"20228011503"</f>
        <v>20228011503</v>
      </c>
      <c r="B426" s="4" t="str">
        <f t="shared" si="6"/>
        <v>20220301</v>
      </c>
      <c r="C426" s="5">
        <v>0</v>
      </c>
      <c r="D426" s="5">
        <v>0</v>
      </c>
      <c r="E426" s="5">
        <v>0</v>
      </c>
    </row>
    <row r="427" spans="1:5">
      <c r="A427" s="4" t="str">
        <f>"20228011504"</f>
        <v>20228011504</v>
      </c>
      <c r="B427" s="4" t="str">
        <f t="shared" si="6"/>
        <v>20220301</v>
      </c>
      <c r="C427" s="5">
        <v>88.6</v>
      </c>
      <c r="D427" s="5">
        <v>89.6</v>
      </c>
      <c r="E427" s="5">
        <v>89.2</v>
      </c>
    </row>
    <row r="428" spans="1:5">
      <c r="A428" s="4" t="str">
        <f>"20228011505"</f>
        <v>20228011505</v>
      </c>
      <c r="B428" s="4" t="str">
        <f t="shared" si="6"/>
        <v>20220301</v>
      </c>
      <c r="C428" s="5">
        <v>98.1</v>
      </c>
      <c r="D428" s="5">
        <v>96.4</v>
      </c>
      <c r="E428" s="5">
        <v>97.08</v>
      </c>
    </row>
    <row r="429" spans="1:5">
      <c r="A429" s="4" t="str">
        <f>"20228011506"</f>
        <v>20228011506</v>
      </c>
      <c r="B429" s="4" t="str">
        <f t="shared" si="6"/>
        <v>20220301</v>
      </c>
      <c r="C429" s="5">
        <v>86.2</v>
      </c>
      <c r="D429" s="5">
        <v>92.4</v>
      </c>
      <c r="E429" s="5">
        <v>89.92</v>
      </c>
    </row>
    <row r="430" spans="1:5">
      <c r="A430" s="4" t="str">
        <f>"20228011507"</f>
        <v>20228011507</v>
      </c>
      <c r="B430" s="4" t="str">
        <f t="shared" si="6"/>
        <v>20220301</v>
      </c>
      <c r="C430" s="5">
        <v>82.6</v>
      </c>
      <c r="D430" s="5">
        <v>81.8</v>
      </c>
      <c r="E430" s="5">
        <v>82.12</v>
      </c>
    </row>
    <row r="431" spans="1:5">
      <c r="A431" s="4" t="str">
        <f>"20228011508"</f>
        <v>20228011508</v>
      </c>
      <c r="B431" s="4" t="str">
        <f t="shared" si="6"/>
        <v>20220301</v>
      </c>
      <c r="C431" s="5">
        <v>0</v>
      </c>
      <c r="D431" s="5">
        <v>0</v>
      </c>
      <c r="E431" s="5">
        <v>0</v>
      </c>
    </row>
    <row r="432" spans="1:5">
      <c r="A432" s="4" t="str">
        <f>"20228011509"</f>
        <v>20228011509</v>
      </c>
      <c r="B432" s="4" t="str">
        <f t="shared" si="6"/>
        <v>20220301</v>
      </c>
      <c r="C432" s="5">
        <v>0</v>
      </c>
      <c r="D432" s="5">
        <v>0</v>
      </c>
      <c r="E432" s="5">
        <v>0</v>
      </c>
    </row>
    <row r="433" spans="1:5">
      <c r="A433" s="4" t="str">
        <f>"20228011510"</f>
        <v>20228011510</v>
      </c>
      <c r="B433" s="4" t="str">
        <f t="shared" si="6"/>
        <v>20220301</v>
      </c>
      <c r="C433" s="5">
        <v>0</v>
      </c>
      <c r="D433" s="5">
        <v>0</v>
      </c>
      <c r="E433" s="5">
        <v>0</v>
      </c>
    </row>
    <row r="434" spans="1:5">
      <c r="A434" s="4" t="str">
        <f>"20228011511"</f>
        <v>20228011511</v>
      </c>
      <c r="B434" s="4" t="str">
        <f t="shared" si="6"/>
        <v>20220301</v>
      </c>
      <c r="C434" s="5">
        <v>92</v>
      </c>
      <c r="D434" s="5">
        <v>96</v>
      </c>
      <c r="E434" s="5">
        <v>94.4</v>
      </c>
    </row>
    <row r="435" spans="1:5">
      <c r="A435" s="4" t="str">
        <f>"20228011512"</f>
        <v>20228011512</v>
      </c>
      <c r="B435" s="4" t="str">
        <f t="shared" si="6"/>
        <v>20220301</v>
      </c>
      <c r="C435" s="5">
        <v>60.1</v>
      </c>
      <c r="D435" s="5">
        <v>77</v>
      </c>
      <c r="E435" s="5">
        <v>70.24</v>
      </c>
    </row>
    <row r="436" spans="1:5">
      <c r="A436" s="4" t="str">
        <f>"20228011513"</f>
        <v>20228011513</v>
      </c>
      <c r="B436" s="4" t="str">
        <f t="shared" si="6"/>
        <v>20220301</v>
      </c>
      <c r="C436" s="5">
        <v>97.7</v>
      </c>
      <c r="D436" s="5">
        <v>89.9</v>
      </c>
      <c r="E436" s="5">
        <v>93.02</v>
      </c>
    </row>
    <row r="437" spans="1:5">
      <c r="A437" s="4" t="str">
        <f>"20228011514"</f>
        <v>20228011514</v>
      </c>
      <c r="B437" s="4" t="str">
        <f t="shared" si="6"/>
        <v>20220301</v>
      </c>
      <c r="C437" s="5">
        <v>0</v>
      </c>
      <c r="D437" s="5">
        <v>0</v>
      </c>
      <c r="E437" s="5">
        <v>0</v>
      </c>
    </row>
    <row r="438" spans="1:5">
      <c r="A438" s="4" t="str">
        <f>"20228011515"</f>
        <v>20228011515</v>
      </c>
      <c r="B438" s="4" t="str">
        <f t="shared" si="6"/>
        <v>20220301</v>
      </c>
      <c r="C438" s="5">
        <v>0</v>
      </c>
      <c r="D438" s="5">
        <v>0</v>
      </c>
      <c r="E438" s="5">
        <v>0</v>
      </c>
    </row>
    <row r="439" spans="1:5">
      <c r="A439" s="4" t="str">
        <f>"20228011516"</f>
        <v>20228011516</v>
      </c>
      <c r="B439" s="4" t="str">
        <f t="shared" si="6"/>
        <v>20220301</v>
      </c>
      <c r="C439" s="5">
        <v>0</v>
      </c>
      <c r="D439" s="5">
        <v>0</v>
      </c>
      <c r="E439" s="5">
        <v>0</v>
      </c>
    </row>
    <row r="440" spans="1:5">
      <c r="A440" s="4" t="str">
        <f>"20228011517"</f>
        <v>20228011517</v>
      </c>
      <c r="B440" s="4" t="str">
        <f t="shared" si="6"/>
        <v>20220301</v>
      </c>
      <c r="C440" s="5">
        <v>91.5</v>
      </c>
      <c r="D440" s="5">
        <v>74.9</v>
      </c>
      <c r="E440" s="5">
        <v>81.54</v>
      </c>
    </row>
    <row r="441" spans="1:5">
      <c r="A441" s="4" t="str">
        <f>"20228011518"</f>
        <v>20228011518</v>
      </c>
      <c r="B441" s="4" t="str">
        <f t="shared" si="6"/>
        <v>20220301</v>
      </c>
      <c r="C441" s="5">
        <v>100.1</v>
      </c>
      <c r="D441" s="5">
        <v>92.2</v>
      </c>
      <c r="E441" s="5">
        <v>95.36</v>
      </c>
    </row>
    <row r="442" spans="1:5">
      <c r="A442" s="4" t="str">
        <f>"20228011519"</f>
        <v>20228011519</v>
      </c>
      <c r="B442" s="4" t="str">
        <f t="shared" si="6"/>
        <v>20220301</v>
      </c>
      <c r="C442" s="5">
        <v>93.3</v>
      </c>
      <c r="D442" s="5">
        <v>93</v>
      </c>
      <c r="E442" s="5">
        <v>93.12</v>
      </c>
    </row>
    <row r="443" spans="1:5">
      <c r="A443" s="4" t="str">
        <f>"20228011520"</f>
        <v>20228011520</v>
      </c>
      <c r="B443" s="4" t="str">
        <f t="shared" si="6"/>
        <v>20220301</v>
      </c>
      <c r="C443" s="5">
        <v>0</v>
      </c>
      <c r="D443" s="5">
        <v>0</v>
      </c>
      <c r="E443" s="5">
        <v>0</v>
      </c>
    </row>
    <row r="444" spans="1:5">
      <c r="A444" s="4" t="str">
        <f>"20228011521"</f>
        <v>20228011521</v>
      </c>
      <c r="B444" s="4" t="str">
        <f t="shared" si="6"/>
        <v>20220301</v>
      </c>
      <c r="C444" s="5">
        <v>72.8</v>
      </c>
      <c r="D444" s="5">
        <v>75.9</v>
      </c>
      <c r="E444" s="5">
        <v>74.66</v>
      </c>
    </row>
    <row r="445" spans="1:5">
      <c r="A445" s="4" t="str">
        <f>"20228011522"</f>
        <v>20228011522</v>
      </c>
      <c r="B445" s="4" t="str">
        <f t="shared" si="6"/>
        <v>20220301</v>
      </c>
      <c r="C445" s="5">
        <v>0</v>
      </c>
      <c r="D445" s="5">
        <v>0</v>
      </c>
      <c r="E445" s="5">
        <v>0</v>
      </c>
    </row>
    <row r="446" spans="1:5">
      <c r="A446" s="4" t="str">
        <f>"20228011523"</f>
        <v>20228011523</v>
      </c>
      <c r="B446" s="4" t="str">
        <f t="shared" si="6"/>
        <v>20220301</v>
      </c>
      <c r="C446" s="5">
        <v>77.6</v>
      </c>
      <c r="D446" s="5">
        <v>85</v>
      </c>
      <c r="E446" s="5">
        <v>82.04</v>
      </c>
    </row>
    <row r="447" spans="1:5">
      <c r="A447" s="4" t="str">
        <f>"20228011524"</f>
        <v>20228011524</v>
      </c>
      <c r="B447" s="4" t="str">
        <f t="shared" si="6"/>
        <v>20220301</v>
      </c>
      <c r="C447" s="5">
        <v>0</v>
      </c>
      <c r="D447" s="5">
        <v>0</v>
      </c>
      <c r="E447" s="5">
        <v>0</v>
      </c>
    </row>
    <row r="448" spans="1:5">
      <c r="A448" s="4" t="str">
        <f>"20228011525"</f>
        <v>20228011525</v>
      </c>
      <c r="B448" s="4" t="str">
        <f t="shared" si="6"/>
        <v>20220301</v>
      </c>
      <c r="C448" s="5">
        <v>70.8</v>
      </c>
      <c r="D448" s="5">
        <v>78.3</v>
      </c>
      <c r="E448" s="5">
        <v>75.3</v>
      </c>
    </row>
    <row r="449" spans="1:5">
      <c r="A449" s="4" t="str">
        <f>"20228011526"</f>
        <v>20228011526</v>
      </c>
      <c r="B449" s="4" t="str">
        <f t="shared" si="6"/>
        <v>20220301</v>
      </c>
      <c r="C449" s="5">
        <v>95.3</v>
      </c>
      <c r="D449" s="5">
        <v>88.9</v>
      </c>
      <c r="E449" s="5">
        <v>91.46</v>
      </c>
    </row>
    <row r="450" spans="1:5">
      <c r="A450" s="4" t="str">
        <f>"20228011527"</f>
        <v>20228011527</v>
      </c>
      <c r="B450" s="4" t="str">
        <f t="shared" si="6"/>
        <v>20220301</v>
      </c>
      <c r="C450" s="5">
        <v>69.3</v>
      </c>
      <c r="D450" s="5">
        <v>86.9</v>
      </c>
      <c r="E450" s="5">
        <v>79.86</v>
      </c>
    </row>
    <row r="451" spans="1:5">
      <c r="A451" s="4" t="str">
        <f>"20228011528"</f>
        <v>20228011528</v>
      </c>
      <c r="B451" s="4" t="str">
        <f t="shared" si="6"/>
        <v>20220301</v>
      </c>
      <c r="C451" s="5">
        <v>0</v>
      </c>
      <c r="D451" s="5">
        <v>0</v>
      </c>
      <c r="E451" s="5">
        <v>0</v>
      </c>
    </row>
    <row r="452" spans="1:5">
      <c r="A452" s="4" t="str">
        <f>"20228011529"</f>
        <v>20228011529</v>
      </c>
      <c r="B452" s="4" t="str">
        <f t="shared" ref="B452:B499" si="7">"20220301"</f>
        <v>20220301</v>
      </c>
      <c r="C452" s="5">
        <v>93.8</v>
      </c>
      <c r="D452" s="5">
        <v>78.8</v>
      </c>
      <c r="E452" s="5">
        <v>84.8</v>
      </c>
    </row>
    <row r="453" spans="1:5">
      <c r="A453" s="4" t="str">
        <f>"20228011530"</f>
        <v>20228011530</v>
      </c>
      <c r="B453" s="4" t="str">
        <f t="shared" si="7"/>
        <v>20220301</v>
      </c>
      <c r="C453" s="5">
        <v>96.2</v>
      </c>
      <c r="D453" s="5">
        <v>91.1</v>
      </c>
      <c r="E453" s="5">
        <v>93.14</v>
      </c>
    </row>
    <row r="454" spans="1:5">
      <c r="A454" s="4" t="str">
        <f>"20228011601"</f>
        <v>20228011601</v>
      </c>
      <c r="B454" s="4" t="str">
        <f t="shared" si="7"/>
        <v>20220301</v>
      </c>
      <c r="C454" s="5">
        <v>101.7</v>
      </c>
      <c r="D454" s="5">
        <v>88.8</v>
      </c>
      <c r="E454" s="5">
        <v>93.96</v>
      </c>
    </row>
    <row r="455" spans="1:5">
      <c r="A455" s="4" t="str">
        <f>"20228011602"</f>
        <v>20228011602</v>
      </c>
      <c r="B455" s="4" t="str">
        <f t="shared" si="7"/>
        <v>20220301</v>
      </c>
      <c r="C455" s="5">
        <v>83.9</v>
      </c>
      <c r="D455" s="5">
        <v>81.4</v>
      </c>
      <c r="E455" s="5">
        <v>82.4</v>
      </c>
    </row>
    <row r="456" spans="1:5">
      <c r="A456" s="4" t="str">
        <f>"20228011603"</f>
        <v>20228011603</v>
      </c>
      <c r="B456" s="4" t="str">
        <f t="shared" si="7"/>
        <v>20220301</v>
      </c>
      <c r="C456" s="5">
        <v>0</v>
      </c>
      <c r="D456" s="5">
        <v>0</v>
      </c>
      <c r="E456" s="5">
        <v>0</v>
      </c>
    </row>
    <row r="457" spans="1:5">
      <c r="A457" s="4" t="str">
        <f>"20228011604"</f>
        <v>20228011604</v>
      </c>
      <c r="B457" s="4" t="str">
        <f t="shared" si="7"/>
        <v>20220301</v>
      </c>
      <c r="C457" s="5">
        <v>91.5</v>
      </c>
      <c r="D457" s="5">
        <v>91.4</v>
      </c>
      <c r="E457" s="5">
        <v>91.44</v>
      </c>
    </row>
    <row r="458" spans="1:5">
      <c r="A458" s="4" t="str">
        <f>"20228011605"</f>
        <v>20228011605</v>
      </c>
      <c r="B458" s="4" t="str">
        <f t="shared" si="7"/>
        <v>20220301</v>
      </c>
      <c r="C458" s="5">
        <v>106.1</v>
      </c>
      <c r="D458" s="5">
        <v>90.4</v>
      </c>
      <c r="E458" s="5">
        <v>96.68</v>
      </c>
    </row>
    <row r="459" spans="1:5">
      <c r="A459" s="4" t="str">
        <f>"20228011606"</f>
        <v>20228011606</v>
      </c>
      <c r="B459" s="4" t="str">
        <f t="shared" si="7"/>
        <v>20220301</v>
      </c>
      <c r="C459" s="5">
        <v>100.6</v>
      </c>
      <c r="D459" s="5">
        <v>91.2</v>
      </c>
      <c r="E459" s="5">
        <v>94.96</v>
      </c>
    </row>
    <row r="460" spans="1:5">
      <c r="A460" s="4" t="str">
        <f>"20228011607"</f>
        <v>20228011607</v>
      </c>
      <c r="B460" s="4" t="str">
        <f t="shared" si="7"/>
        <v>20220301</v>
      </c>
      <c r="C460" s="5">
        <v>76</v>
      </c>
      <c r="D460" s="5">
        <v>77.6</v>
      </c>
      <c r="E460" s="5">
        <v>76.96</v>
      </c>
    </row>
    <row r="461" spans="1:5">
      <c r="A461" s="4" t="str">
        <f>"20228011608"</f>
        <v>20228011608</v>
      </c>
      <c r="B461" s="4" t="str">
        <f t="shared" si="7"/>
        <v>20220301</v>
      </c>
      <c r="C461" s="5">
        <v>0</v>
      </c>
      <c r="D461" s="5">
        <v>0</v>
      </c>
      <c r="E461" s="5">
        <v>0</v>
      </c>
    </row>
    <row r="462" spans="1:5">
      <c r="A462" s="4" t="str">
        <f>"20228011609"</f>
        <v>20228011609</v>
      </c>
      <c r="B462" s="4" t="str">
        <f t="shared" si="7"/>
        <v>20220301</v>
      </c>
      <c r="C462" s="5">
        <v>83.8</v>
      </c>
      <c r="D462" s="5">
        <v>81.8</v>
      </c>
      <c r="E462" s="5">
        <v>82.6</v>
      </c>
    </row>
    <row r="463" spans="1:5">
      <c r="A463" s="4" t="str">
        <f>"20228011610"</f>
        <v>20228011610</v>
      </c>
      <c r="B463" s="4" t="str">
        <f t="shared" si="7"/>
        <v>20220301</v>
      </c>
      <c r="C463" s="5">
        <v>99.5</v>
      </c>
      <c r="D463" s="5">
        <v>81.3</v>
      </c>
      <c r="E463" s="5">
        <v>88.58</v>
      </c>
    </row>
    <row r="464" spans="1:5">
      <c r="A464" s="4" t="str">
        <f>"20228011611"</f>
        <v>20228011611</v>
      </c>
      <c r="B464" s="4" t="str">
        <f t="shared" si="7"/>
        <v>20220301</v>
      </c>
      <c r="C464" s="5">
        <v>95.1</v>
      </c>
      <c r="D464" s="5">
        <v>82.7</v>
      </c>
      <c r="E464" s="5">
        <v>87.66</v>
      </c>
    </row>
    <row r="465" spans="1:5">
      <c r="A465" s="4" t="str">
        <f>"20228011612"</f>
        <v>20228011612</v>
      </c>
      <c r="B465" s="4" t="str">
        <f t="shared" si="7"/>
        <v>20220301</v>
      </c>
      <c r="C465" s="5">
        <v>0</v>
      </c>
      <c r="D465" s="5">
        <v>0</v>
      </c>
      <c r="E465" s="5">
        <v>0</v>
      </c>
    </row>
    <row r="466" spans="1:5">
      <c r="A466" s="4" t="str">
        <f>"20228011613"</f>
        <v>20228011613</v>
      </c>
      <c r="B466" s="4" t="str">
        <f t="shared" si="7"/>
        <v>20220301</v>
      </c>
      <c r="C466" s="5">
        <v>0</v>
      </c>
      <c r="D466" s="5">
        <v>0</v>
      </c>
      <c r="E466" s="5">
        <v>0</v>
      </c>
    </row>
    <row r="467" spans="1:5">
      <c r="A467" s="4" t="str">
        <f>"20228011614"</f>
        <v>20228011614</v>
      </c>
      <c r="B467" s="4" t="str">
        <f t="shared" si="7"/>
        <v>20220301</v>
      </c>
      <c r="C467" s="5">
        <v>0</v>
      </c>
      <c r="D467" s="5">
        <v>0</v>
      </c>
      <c r="E467" s="5">
        <v>0</v>
      </c>
    </row>
    <row r="468" spans="1:5">
      <c r="A468" s="4" t="str">
        <f>"20228011615"</f>
        <v>20228011615</v>
      </c>
      <c r="B468" s="4" t="str">
        <f t="shared" si="7"/>
        <v>20220301</v>
      </c>
      <c r="C468" s="5">
        <v>0</v>
      </c>
      <c r="D468" s="5">
        <v>0</v>
      </c>
      <c r="E468" s="5">
        <v>0</v>
      </c>
    </row>
    <row r="469" spans="1:5">
      <c r="A469" s="4" t="str">
        <f>"20228011616"</f>
        <v>20228011616</v>
      </c>
      <c r="B469" s="4" t="str">
        <f t="shared" si="7"/>
        <v>20220301</v>
      </c>
      <c r="C469" s="5">
        <v>90.4</v>
      </c>
      <c r="D469" s="5">
        <v>84.6</v>
      </c>
      <c r="E469" s="5">
        <v>86.92</v>
      </c>
    </row>
    <row r="470" spans="1:5">
      <c r="A470" s="4" t="str">
        <f>"20228011617"</f>
        <v>20228011617</v>
      </c>
      <c r="B470" s="4" t="str">
        <f t="shared" si="7"/>
        <v>20220301</v>
      </c>
      <c r="C470" s="5">
        <v>93.8</v>
      </c>
      <c r="D470" s="5">
        <v>84.6</v>
      </c>
      <c r="E470" s="5">
        <v>88.28</v>
      </c>
    </row>
    <row r="471" spans="1:5">
      <c r="A471" s="4" t="str">
        <f>"20228011618"</f>
        <v>20228011618</v>
      </c>
      <c r="B471" s="4" t="str">
        <f t="shared" si="7"/>
        <v>20220301</v>
      </c>
      <c r="C471" s="5">
        <v>95.7</v>
      </c>
      <c r="D471" s="5">
        <v>91.5</v>
      </c>
      <c r="E471" s="5">
        <v>93.18</v>
      </c>
    </row>
    <row r="472" spans="1:5">
      <c r="A472" s="4" t="str">
        <f>"20228011619"</f>
        <v>20228011619</v>
      </c>
      <c r="B472" s="4" t="str">
        <f t="shared" si="7"/>
        <v>20220301</v>
      </c>
      <c r="C472" s="5">
        <v>92</v>
      </c>
      <c r="D472" s="5">
        <v>86.4</v>
      </c>
      <c r="E472" s="5">
        <v>88.64</v>
      </c>
    </row>
    <row r="473" spans="1:5">
      <c r="A473" s="4" t="str">
        <f>"20228011620"</f>
        <v>20228011620</v>
      </c>
      <c r="B473" s="4" t="str">
        <f t="shared" si="7"/>
        <v>20220301</v>
      </c>
      <c r="C473" s="5">
        <v>80.7</v>
      </c>
      <c r="D473" s="5">
        <v>87.6</v>
      </c>
      <c r="E473" s="5">
        <v>84.84</v>
      </c>
    </row>
    <row r="474" spans="1:5">
      <c r="A474" s="4" t="str">
        <f>"20228011621"</f>
        <v>20228011621</v>
      </c>
      <c r="B474" s="4" t="str">
        <f t="shared" si="7"/>
        <v>20220301</v>
      </c>
      <c r="C474" s="5">
        <v>95.9</v>
      </c>
      <c r="D474" s="5">
        <v>78.8</v>
      </c>
      <c r="E474" s="5">
        <v>85.64</v>
      </c>
    </row>
    <row r="475" spans="1:5">
      <c r="A475" s="4" t="str">
        <f>"20228011622"</f>
        <v>20228011622</v>
      </c>
      <c r="B475" s="4" t="str">
        <f t="shared" si="7"/>
        <v>20220301</v>
      </c>
      <c r="C475" s="5">
        <v>98.4</v>
      </c>
      <c r="D475" s="5">
        <v>87.5</v>
      </c>
      <c r="E475" s="5">
        <v>91.86</v>
      </c>
    </row>
    <row r="476" spans="1:5">
      <c r="A476" s="4" t="str">
        <f>"20228011623"</f>
        <v>20228011623</v>
      </c>
      <c r="B476" s="4" t="str">
        <f t="shared" si="7"/>
        <v>20220301</v>
      </c>
      <c r="C476" s="5">
        <v>0</v>
      </c>
      <c r="D476" s="5">
        <v>0</v>
      </c>
      <c r="E476" s="5">
        <v>0</v>
      </c>
    </row>
    <row r="477" spans="1:5">
      <c r="A477" s="4" t="str">
        <f>"20228011624"</f>
        <v>20228011624</v>
      </c>
      <c r="B477" s="4" t="str">
        <f t="shared" si="7"/>
        <v>20220301</v>
      </c>
      <c r="C477" s="5">
        <v>100.1</v>
      </c>
      <c r="D477" s="5">
        <v>90.7</v>
      </c>
      <c r="E477" s="5">
        <v>94.46</v>
      </c>
    </row>
    <row r="478" spans="1:5">
      <c r="A478" s="4" t="str">
        <f>"20228011625"</f>
        <v>20228011625</v>
      </c>
      <c r="B478" s="4" t="str">
        <f t="shared" si="7"/>
        <v>20220301</v>
      </c>
      <c r="C478" s="5">
        <v>92.7</v>
      </c>
      <c r="D478" s="5">
        <v>83.3</v>
      </c>
      <c r="E478" s="5">
        <v>87.06</v>
      </c>
    </row>
    <row r="479" spans="1:5">
      <c r="A479" s="4" t="str">
        <f>"20228011626"</f>
        <v>20228011626</v>
      </c>
      <c r="B479" s="4" t="str">
        <f t="shared" si="7"/>
        <v>20220301</v>
      </c>
      <c r="C479" s="5">
        <v>85</v>
      </c>
      <c r="D479" s="5">
        <v>84</v>
      </c>
      <c r="E479" s="5">
        <v>84.4</v>
      </c>
    </row>
    <row r="480" spans="1:5">
      <c r="A480" s="4" t="str">
        <f>"20228011627"</f>
        <v>20228011627</v>
      </c>
      <c r="B480" s="4" t="str">
        <f t="shared" si="7"/>
        <v>20220301</v>
      </c>
      <c r="C480" s="5">
        <v>100.3</v>
      </c>
      <c r="D480" s="5">
        <v>80.3</v>
      </c>
      <c r="E480" s="5">
        <v>88.3</v>
      </c>
    </row>
    <row r="481" spans="1:5">
      <c r="A481" s="4" t="str">
        <f>"20228011628"</f>
        <v>20228011628</v>
      </c>
      <c r="B481" s="4" t="str">
        <f t="shared" si="7"/>
        <v>20220301</v>
      </c>
      <c r="C481" s="5">
        <v>88.3</v>
      </c>
      <c r="D481" s="5">
        <v>85.3</v>
      </c>
      <c r="E481" s="5">
        <v>86.5</v>
      </c>
    </row>
    <row r="482" spans="1:5">
      <c r="A482" s="4" t="str">
        <f>"20228011629"</f>
        <v>20228011629</v>
      </c>
      <c r="B482" s="4" t="str">
        <f t="shared" si="7"/>
        <v>20220301</v>
      </c>
      <c r="C482" s="5">
        <v>0</v>
      </c>
      <c r="D482" s="5">
        <v>0</v>
      </c>
      <c r="E482" s="5">
        <v>0</v>
      </c>
    </row>
    <row r="483" spans="1:5">
      <c r="A483" s="4" t="str">
        <f>"20228011630"</f>
        <v>20228011630</v>
      </c>
      <c r="B483" s="4" t="str">
        <f t="shared" si="7"/>
        <v>20220301</v>
      </c>
      <c r="C483" s="5">
        <v>0</v>
      </c>
      <c r="D483" s="5">
        <v>0</v>
      </c>
      <c r="E483" s="5">
        <v>0</v>
      </c>
    </row>
    <row r="484" spans="1:5">
      <c r="A484" s="4" t="str">
        <f>"20228011701"</f>
        <v>20228011701</v>
      </c>
      <c r="B484" s="4" t="str">
        <f t="shared" si="7"/>
        <v>20220301</v>
      </c>
      <c r="C484" s="5">
        <v>89.1</v>
      </c>
      <c r="D484" s="5">
        <v>87.9</v>
      </c>
      <c r="E484" s="5">
        <v>88.38</v>
      </c>
    </row>
    <row r="485" spans="1:5">
      <c r="A485" s="4" t="str">
        <f>"20228011702"</f>
        <v>20228011702</v>
      </c>
      <c r="B485" s="4" t="str">
        <f t="shared" si="7"/>
        <v>20220301</v>
      </c>
      <c r="C485" s="5">
        <v>0</v>
      </c>
      <c r="D485" s="5">
        <v>72.3</v>
      </c>
      <c r="E485" s="5">
        <v>43.38</v>
      </c>
    </row>
    <row r="486" spans="1:5">
      <c r="A486" s="4" t="str">
        <f>"20228011703"</f>
        <v>20228011703</v>
      </c>
      <c r="B486" s="4" t="str">
        <f t="shared" si="7"/>
        <v>20220301</v>
      </c>
      <c r="C486" s="5">
        <v>87.5</v>
      </c>
      <c r="D486" s="5">
        <v>88.9</v>
      </c>
      <c r="E486" s="5">
        <v>88.34</v>
      </c>
    </row>
    <row r="487" spans="1:5">
      <c r="A487" s="4" t="str">
        <f>"20228011704"</f>
        <v>20228011704</v>
      </c>
      <c r="B487" s="4" t="str">
        <f t="shared" si="7"/>
        <v>20220301</v>
      </c>
      <c r="C487" s="5">
        <v>100.1</v>
      </c>
      <c r="D487" s="5">
        <v>96.5</v>
      </c>
      <c r="E487" s="5">
        <v>97.94</v>
      </c>
    </row>
    <row r="488" spans="1:5">
      <c r="A488" s="4" t="str">
        <f>"20228011705"</f>
        <v>20228011705</v>
      </c>
      <c r="B488" s="4" t="str">
        <f t="shared" si="7"/>
        <v>20220301</v>
      </c>
      <c r="C488" s="5">
        <v>86.2</v>
      </c>
      <c r="D488" s="5">
        <v>77.4</v>
      </c>
      <c r="E488" s="5">
        <v>80.92</v>
      </c>
    </row>
    <row r="489" spans="1:5">
      <c r="A489" s="4" t="str">
        <f>"20228011706"</f>
        <v>20228011706</v>
      </c>
      <c r="B489" s="4" t="str">
        <f t="shared" si="7"/>
        <v>20220301</v>
      </c>
      <c r="C489" s="5">
        <v>0</v>
      </c>
      <c r="D489" s="5">
        <v>0</v>
      </c>
      <c r="E489" s="5">
        <v>0</v>
      </c>
    </row>
    <row r="490" spans="1:5">
      <c r="A490" s="4" t="str">
        <f>"20228011707"</f>
        <v>20228011707</v>
      </c>
      <c r="B490" s="4" t="str">
        <f t="shared" si="7"/>
        <v>20220301</v>
      </c>
      <c r="C490" s="5">
        <v>99</v>
      </c>
      <c r="D490" s="5">
        <v>86.8</v>
      </c>
      <c r="E490" s="5">
        <v>91.68</v>
      </c>
    </row>
    <row r="491" spans="1:5">
      <c r="A491" s="4" t="str">
        <f>"20228011708"</f>
        <v>20228011708</v>
      </c>
      <c r="B491" s="4" t="str">
        <f t="shared" si="7"/>
        <v>20220301</v>
      </c>
      <c r="C491" s="5">
        <v>0</v>
      </c>
      <c r="D491" s="5">
        <v>0</v>
      </c>
      <c r="E491" s="5">
        <v>0</v>
      </c>
    </row>
    <row r="492" spans="1:5">
      <c r="A492" s="4" t="str">
        <f>"20228011709"</f>
        <v>20228011709</v>
      </c>
      <c r="B492" s="4" t="str">
        <f t="shared" si="7"/>
        <v>20220301</v>
      </c>
      <c r="C492" s="5">
        <v>89.4</v>
      </c>
      <c r="D492" s="5">
        <v>75.8</v>
      </c>
      <c r="E492" s="5">
        <v>81.24</v>
      </c>
    </row>
    <row r="493" spans="1:5">
      <c r="A493" s="4" t="str">
        <f>"20228011710"</f>
        <v>20228011710</v>
      </c>
      <c r="B493" s="4" t="str">
        <f t="shared" si="7"/>
        <v>20220301</v>
      </c>
      <c r="C493" s="5">
        <v>101.7</v>
      </c>
      <c r="D493" s="5">
        <v>88.5</v>
      </c>
      <c r="E493" s="5">
        <v>93.78</v>
      </c>
    </row>
    <row r="494" spans="1:5">
      <c r="A494" s="4" t="str">
        <f>"20228011711"</f>
        <v>20228011711</v>
      </c>
      <c r="B494" s="4" t="str">
        <f t="shared" si="7"/>
        <v>20220301</v>
      </c>
      <c r="C494" s="5">
        <v>90.2</v>
      </c>
      <c r="D494" s="5">
        <v>85.1</v>
      </c>
      <c r="E494" s="5">
        <v>87.14</v>
      </c>
    </row>
    <row r="495" spans="1:5">
      <c r="A495" s="4" t="str">
        <f>"20228011712"</f>
        <v>20228011712</v>
      </c>
      <c r="B495" s="4" t="str">
        <f t="shared" si="7"/>
        <v>20220301</v>
      </c>
      <c r="C495" s="5">
        <v>0</v>
      </c>
      <c r="D495" s="5">
        <v>0</v>
      </c>
      <c r="E495" s="5">
        <v>0</v>
      </c>
    </row>
    <row r="496" spans="1:5">
      <c r="A496" s="4" t="str">
        <f>"20228011713"</f>
        <v>20228011713</v>
      </c>
      <c r="B496" s="4" t="str">
        <f t="shared" si="7"/>
        <v>20220301</v>
      </c>
      <c r="C496" s="5">
        <v>0</v>
      </c>
      <c r="D496" s="5">
        <v>0</v>
      </c>
      <c r="E496" s="5">
        <v>0</v>
      </c>
    </row>
    <row r="497" spans="1:5">
      <c r="A497" s="4" t="str">
        <f>"20228011714"</f>
        <v>20228011714</v>
      </c>
      <c r="B497" s="4" t="str">
        <f t="shared" si="7"/>
        <v>20220301</v>
      </c>
      <c r="C497" s="5">
        <v>94.2</v>
      </c>
      <c r="D497" s="5">
        <v>89.5</v>
      </c>
      <c r="E497" s="5">
        <v>91.38</v>
      </c>
    </row>
    <row r="498" spans="1:5">
      <c r="A498" s="4" t="str">
        <f>"20228011715"</f>
        <v>20228011715</v>
      </c>
      <c r="B498" s="4" t="str">
        <f t="shared" si="7"/>
        <v>20220301</v>
      </c>
      <c r="C498" s="5">
        <v>0</v>
      </c>
      <c r="D498" s="5">
        <v>0</v>
      </c>
      <c r="E498" s="5">
        <v>0</v>
      </c>
    </row>
    <row r="499" spans="1:5">
      <c r="A499" s="4" t="str">
        <f>"20228011716"</f>
        <v>20228011716</v>
      </c>
      <c r="B499" s="4" t="str">
        <f t="shared" si="7"/>
        <v>20220301</v>
      </c>
      <c r="C499" s="5">
        <v>92.4</v>
      </c>
      <c r="D499" s="5">
        <v>79.2</v>
      </c>
      <c r="E499" s="5">
        <v>84.48</v>
      </c>
    </row>
    <row r="500" spans="1:5">
      <c r="A500" s="4" t="str">
        <f>"20228011717"</f>
        <v>20228011717</v>
      </c>
      <c r="B500" s="4" t="str">
        <f t="shared" ref="B500:B563" si="8">"20220302"</f>
        <v>20220302</v>
      </c>
      <c r="C500" s="5">
        <v>103.1</v>
      </c>
      <c r="D500" s="5">
        <v>87.4</v>
      </c>
      <c r="E500" s="5">
        <v>93.68</v>
      </c>
    </row>
    <row r="501" spans="1:5">
      <c r="A501" s="4" t="str">
        <f>"20228011718"</f>
        <v>20228011718</v>
      </c>
      <c r="B501" s="4" t="str">
        <f t="shared" si="8"/>
        <v>20220302</v>
      </c>
      <c r="C501" s="5">
        <v>0</v>
      </c>
      <c r="D501" s="5">
        <v>0</v>
      </c>
      <c r="E501" s="5">
        <v>0</v>
      </c>
    </row>
    <row r="502" spans="1:5">
      <c r="A502" s="4" t="str">
        <f>"20228011719"</f>
        <v>20228011719</v>
      </c>
      <c r="B502" s="4" t="str">
        <f t="shared" si="8"/>
        <v>20220302</v>
      </c>
      <c r="C502" s="5">
        <v>78.5</v>
      </c>
      <c r="D502" s="5">
        <v>79.1</v>
      </c>
      <c r="E502" s="5">
        <v>78.86</v>
      </c>
    </row>
    <row r="503" spans="1:5">
      <c r="A503" s="4" t="str">
        <f>"20228011720"</f>
        <v>20228011720</v>
      </c>
      <c r="B503" s="4" t="str">
        <f t="shared" si="8"/>
        <v>20220302</v>
      </c>
      <c r="C503" s="5">
        <v>0</v>
      </c>
      <c r="D503" s="5">
        <v>0</v>
      </c>
      <c r="E503" s="5">
        <v>0</v>
      </c>
    </row>
    <row r="504" spans="1:5">
      <c r="A504" s="4" t="str">
        <f>"20228011721"</f>
        <v>20228011721</v>
      </c>
      <c r="B504" s="4" t="str">
        <f t="shared" si="8"/>
        <v>20220302</v>
      </c>
      <c r="C504" s="5">
        <v>0</v>
      </c>
      <c r="D504" s="5">
        <v>0</v>
      </c>
      <c r="E504" s="5">
        <v>0</v>
      </c>
    </row>
    <row r="505" spans="1:5">
      <c r="A505" s="4" t="str">
        <f>"20228011722"</f>
        <v>20228011722</v>
      </c>
      <c r="B505" s="4" t="str">
        <f t="shared" si="8"/>
        <v>20220302</v>
      </c>
      <c r="C505" s="5">
        <v>88.2</v>
      </c>
      <c r="D505" s="5">
        <v>87.1</v>
      </c>
      <c r="E505" s="5">
        <v>87.54</v>
      </c>
    </row>
    <row r="506" spans="1:5">
      <c r="A506" s="4" t="str">
        <f>"20228011723"</f>
        <v>20228011723</v>
      </c>
      <c r="B506" s="4" t="str">
        <f t="shared" si="8"/>
        <v>20220302</v>
      </c>
      <c r="C506" s="5">
        <v>78.4</v>
      </c>
      <c r="D506" s="5">
        <v>80.8</v>
      </c>
      <c r="E506" s="5">
        <v>79.84</v>
      </c>
    </row>
    <row r="507" spans="1:5">
      <c r="A507" s="4" t="str">
        <f>"20228011724"</f>
        <v>20228011724</v>
      </c>
      <c r="B507" s="4" t="str">
        <f t="shared" si="8"/>
        <v>20220302</v>
      </c>
      <c r="C507" s="5">
        <v>91.5</v>
      </c>
      <c r="D507" s="5">
        <v>86.3</v>
      </c>
      <c r="E507" s="5">
        <v>88.38</v>
      </c>
    </row>
    <row r="508" spans="1:5">
      <c r="A508" s="4" t="str">
        <f>"20228011725"</f>
        <v>20228011725</v>
      </c>
      <c r="B508" s="4" t="str">
        <f t="shared" si="8"/>
        <v>20220302</v>
      </c>
      <c r="C508" s="5">
        <v>76.9</v>
      </c>
      <c r="D508" s="5">
        <v>83.1</v>
      </c>
      <c r="E508" s="5">
        <v>80.62</v>
      </c>
    </row>
    <row r="509" spans="1:5">
      <c r="A509" s="4" t="str">
        <f>"20228011726"</f>
        <v>20228011726</v>
      </c>
      <c r="B509" s="4" t="str">
        <f t="shared" si="8"/>
        <v>20220302</v>
      </c>
      <c r="C509" s="5">
        <v>0</v>
      </c>
      <c r="D509" s="5">
        <v>0</v>
      </c>
      <c r="E509" s="5">
        <v>0</v>
      </c>
    </row>
    <row r="510" spans="1:5">
      <c r="A510" s="4" t="str">
        <f>"20228011727"</f>
        <v>20228011727</v>
      </c>
      <c r="B510" s="4" t="str">
        <f t="shared" si="8"/>
        <v>20220302</v>
      </c>
      <c r="C510" s="5">
        <v>0</v>
      </c>
      <c r="D510" s="5">
        <v>0</v>
      </c>
      <c r="E510" s="5">
        <v>0</v>
      </c>
    </row>
    <row r="511" spans="1:5">
      <c r="A511" s="4" t="str">
        <f>"20228011728"</f>
        <v>20228011728</v>
      </c>
      <c r="B511" s="4" t="str">
        <f t="shared" si="8"/>
        <v>20220302</v>
      </c>
      <c r="C511" s="5">
        <v>90.1</v>
      </c>
      <c r="D511" s="5">
        <v>86.7</v>
      </c>
      <c r="E511" s="5">
        <v>88.06</v>
      </c>
    </row>
    <row r="512" spans="1:5">
      <c r="A512" s="4" t="str">
        <f>"20228011729"</f>
        <v>20228011729</v>
      </c>
      <c r="B512" s="4" t="str">
        <f t="shared" si="8"/>
        <v>20220302</v>
      </c>
      <c r="C512" s="5">
        <v>0</v>
      </c>
      <c r="D512" s="5">
        <v>0</v>
      </c>
      <c r="E512" s="5">
        <v>0</v>
      </c>
    </row>
    <row r="513" spans="1:5">
      <c r="A513" s="4" t="str">
        <f>"20228011730"</f>
        <v>20228011730</v>
      </c>
      <c r="B513" s="4" t="str">
        <f t="shared" si="8"/>
        <v>20220302</v>
      </c>
      <c r="C513" s="5">
        <v>0</v>
      </c>
      <c r="D513" s="5">
        <v>0</v>
      </c>
      <c r="E513" s="5">
        <v>0</v>
      </c>
    </row>
    <row r="514" spans="1:5">
      <c r="A514" s="4" t="str">
        <f>"20228011801"</f>
        <v>20228011801</v>
      </c>
      <c r="B514" s="4" t="str">
        <f t="shared" si="8"/>
        <v>20220302</v>
      </c>
      <c r="C514" s="5">
        <v>0</v>
      </c>
      <c r="D514" s="5">
        <v>0</v>
      </c>
      <c r="E514" s="5">
        <v>0</v>
      </c>
    </row>
    <row r="515" spans="1:5">
      <c r="A515" s="4" t="str">
        <f>"20228011802"</f>
        <v>20228011802</v>
      </c>
      <c r="B515" s="4" t="str">
        <f t="shared" si="8"/>
        <v>20220302</v>
      </c>
      <c r="C515" s="5">
        <v>87.6</v>
      </c>
      <c r="D515" s="5">
        <v>88.8</v>
      </c>
      <c r="E515" s="5">
        <v>88.32</v>
      </c>
    </row>
    <row r="516" spans="1:5">
      <c r="A516" s="4" t="str">
        <f>"20228011803"</f>
        <v>20228011803</v>
      </c>
      <c r="B516" s="4" t="str">
        <f t="shared" si="8"/>
        <v>20220302</v>
      </c>
      <c r="C516" s="5">
        <v>0</v>
      </c>
      <c r="D516" s="5">
        <v>0</v>
      </c>
      <c r="E516" s="5">
        <v>0</v>
      </c>
    </row>
    <row r="517" spans="1:5">
      <c r="A517" s="4" t="str">
        <f>"20228011804"</f>
        <v>20228011804</v>
      </c>
      <c r="B517" s="4" t="str">
        <f t="shared" si="8"/>
        <v>20220302</v>
      </c>
      <c r="C517" s="5">
        <v>0</v>
      </c>
      <c r="D517" s="5">
        <v>0</v>
      </c>
      <c r="E517" s="5">
        <v>0</v>
      </c>
    </row>
    <row r="518" spans="1:5">
      <c r="A518" s="4" t="str">
        <f>"20228011805"</f>
        <v>20228011805</v>
      </c>
      <c r="B518" s="4" t="str">
        <f t="shared" si="8"/>
        <v>20220302</v>
      </c>
      <c r="C518" s="5">
        <v>85.7</v>
      </c>
      <c r="D518" s="5">
        <v>92.1</v>
      </c>
      <c r="E518" s="5">
        <v>89.54</v>
      </c>
    </row>
    <row r="519" spans="1:5">
      <c r="A519" s="4" t="str">
        <f>"20228011806"</f>
        <v>20228011806</v>
      </c>
      <c r="B519" s="4" t="str">
        <f t="shared" si="8"/>
        <v>20220302</v>
      </c>
      <c r="C519" s="5">
        <v>0</v>
      </c>
      <c r="D519" s="5">
        <v>0</v>
      </c>
      <c r="E519" s="5">
        <v>0</v>
      </c>
    </row>
    <row r="520" spans="1:5">
      <c r="A520" s="4" t="str">
        <f>"20228011807"</f>
        <v>20228011807</v>
      </c>
      <c r="B520" s="4" t="str">
        <f t="shared" si="8"/>
        <v>20220302</v>
      </c>
      <c r="C520" s="5">
        <v>0</v>
      </c>
      <c r="D520" s="5">
        <v>0</v>
      </c>
      <c r="E520" s="5">
        <v>0</v>
      </c>
    </row>
    <row r="521" spans="1:5">
      <c r="A521" s="4" t="str">
        <f>"20228011808"</f>
        <v>20228011808</v>
      </c>
      <c r="B521" s="4" t="str">
        <f t="shared" si="8"/>
        <v>20220302</v>
      </c>
      <c r="C521" s="5">
        <v>96.5</v>
      </c>
      <c r="D521" s="5">
        <v>84.4</v>
      </c>
      <c r="E521" s="5">
        <v>89.24</v>
      </c>
    </row>
    <row r="522" spans="1:5">
      <c r="A522" s="4" t="str">
        <f>"20228011809"</f>
        <v>20228011809</v>
      </c>
      <c r="B522" s="4" t="str">
        <f t="shared" si="8"/>
        <v>20220302</v>
      </c>
      <c r="C522" s="5">
        <v>70.8</v>
      </c>
      <c r="D522" s="5">
        <v>71.7</v>
      </c>
      <c r="E522" s="5">
        <v>71.34</v>
      </c>
    </row>
    <row r="523" spans="1:5">
      <c r="A523" s="4" t="str">
        <f>"20228011810"</f>
        <v>20228011810</v>
      </c>
      <c r="B523" s="4" t="str">
        <f t="shared" si="8"/>
        <v>20220302</v>
      </c>
      <c r="C523" s="5">
        <v>84.9</v>
      </c>
      <c r="D523" s="5">
        <v>84.1</v>
      </c>
      <c r="E523" s="5">
        <v>84.42</v>
      </c>
    </row>
    <row r="524" spans="1:5">
      <c r="A524" s="4" t="str">
        <f>"20228011811"</f>
        <v>20228011811</v>
      </c>
      <c r="B524" s="4" t="str">
        <f t="shared" si="8"/>
        <v>20220302</v>
      </c>
      <c r="C524" s="5">
        <v>0</v>
      </c>
      <c r="D524" s="5">
        <v>0</v>
      </c>
      <c r="E524" s="5">
        <v>0</v>
      </c>
    </row>
    <row r="525" spans="1:5">
      <c r="A525" s="4" t="str">
        <f>"20228011812"</f>
        <v>20228011812</v>
      </c>
      <c r="B525" s="4" t="str">
        <f t="shared" si="8"/>
        <v>20220302</v>
      </c>
      <c r="C525" s="5">
        <v>83.4</v>
      </c>
      <c r="D525" s="5">
        <v>90.9</v>
      </c>
      <c r="E525" s="5">
        <v>87.9</v>
      </c>
    </row>
    <row r="526" spans="1:5">
      <c r="A526" s="4" t="str">
        <f>"20228011813"</f>
        <v>20228011813</v>
      </c>
      <c r="B526" s="4" t="str">
        <f t="shared" si="8"/>
        <v>20220302</v>
      </c>
      <c r="C526" s="5">
        <v>95.1</v>
      </c>
      <c r="D526" s="5">
        <v>87.5</v>
      </c>
      <c r="E526" s="5">
        <v>90.54</v>
      </c>
    </row>
    <row r="527" spans="1:5">
      <c r="A527" s="4" t="str">
        <f>"20228011814"</f>
        <v>20228011814</v>
      </c>
      <c r="B527" s="4" t="str">
        <f t="shared" si="8"/>
        <v>20220302</v>
      </c>
      <c r="C527" s="5">
        <v>0</v>
      </c>
      <c r="D527" s="5">
        <v>0</v>
      </c>
      <c r="E527" s="5">
        <v>0</v>
      </c>
    </row>
    <row r="528" spans="1:5">
      <c r="A528" s="4" t="str">
        <f>"20228011815"</f>
        <v>20228011815</v>
      </c>
      <c r="B528" s="4" t="str">
        <f t="shared" si="8"/>
        <v>20220302</v>
      </c>
      <c r="C528" s="5">
        <v>72.9</v>
      </c>
      <c r="D528" s="5">
        <v>66.3</v>
      </c>
      <c r="E528" s="5">
        <v>68.94</v>
      </c>
    </row>
    <row r="529" spans="1:5">
      <c r="A529" s="4" t="str">
        <f>"20228011816"</f>
        <v>20228011816</v>
      </c>
      <c r="B529" s="4" t="str">
        <f t="shared" si="8"/>
        <v>20220302</v>
      </c>
      <c r="C529" s="5">
        <v>0</v>
      </c>
      <c r="D529" s="5">
        <v>0</v>
      </c>
      <c r="E529" s="5">
        <v>0</v>
      </c>
    </row>
    <row r="530" spans="1:5">
      <c r="A530" s="4" t="str">
        <f>"20228011817"</f>
        <v>20228011817</v>
      </c>
      <c r="B530" s="4" t="str">
        <f t="shared" si="8"/>
        <v>20220302</v>
      </c>
      <c r="C530" s="5">
        <v>0</v>
      </c>
      <c r="D530" s="5">
        <v>0</v>
      </c>
      <c r="E530" s="5">
        <v>0</v>
      </c>
    </row>
    <row r="531" spans="1:5">
      <c r="A531" s="4" t="str">
        <f>"20228011818"</f>
        <v>20228011818</v>
      </c>
      <c r="B531" s="4" t="str">
        <f t="shared" si="8"/>
        <v>20220302</v>
      </c>
      <c r="C531" s="5">
        <v>0</v>
      </c>
      <c r="D531" s="5">
        <v>0</v>
      </c>
      <c r="E531" s="5">
        <v>0</v>
      </c>
    </row>
    <row r="532" spans="1:5">
      <c r="A532" s="4" t="str">
        <f>"20228011819"</f>
        <v>20228011819</v>
      </c>
      <c r="B532" s="4" t="str">
        <f t="shared" si="8"/>
        <v>20220302</v>
      </c>
      <c r="C532" s="5">
        <v>94.4</v>
      </c>
      <c r="D532" s="5">
        <v>73.7</v>
      </c>
      <c r="E532" s="5">
        <v>81.98</v>
      </c>
    </row>
    <row r="533" spans="1:5">
      <c r="A533" s="4" t="str">
        <f>"20228011820"</f>
        <v>20228011820</v>
      </c>
      <c r="B533" s="4" t="str">
        <f t="shared" si="8"/>
        <v>20220302</v>
      </c>
      <c r="C533" s="5">
        <v>0</v>
      </c>
      <c r="D533" s="5">
        <v>0</v>
      </c>
      <c r="E533" s="5">
        <v>0</v>
      </c>
    </row>
    <row r="534" spans="1:5">
      <c r="A534" s="4" t="str">
        <f>"20228011821"</f>
        <v>20228011821</v>
      </c>
      <c r="B534" s="4" t="str">
        <f t="shared" si="8"/>
        <v>20220302</v>
      </c>
      <c r="C534" s="5">
        <v>94.6</v>
      </c>
      <c r="D534" s="5">
        <v>89.8</v>
      </c>
      <c r="E534" s="5">
        <v>91.72</v>
      </c>
    </row>
    <row r="535" spans="1:5">
      <c r="A535" s="4" t="str">
        <f>"20228011822"</f>
        <v>20228011822</v>
      </c>
      <c r="B535" s="4" t="str">
        <f t="shared" si="8"/>
        <v>20220302</v>
      </c>
      <c r="C535" s="5">
        <v>0</v>
      </c>
      <c r="D535" s="5">
        <v>0</v>
      </c>
      <c r="E535" s="5">
        <v>0</v>
      </c>
    </row>
    <row r="536" spans="1:5">
      <c r="A536" s="4" t="str">
        <f>"20228011823"</f>
        <v>20228011823</v>
      </c>
      <c r="B536" s="4" t="str">
        <f t="shared" si="8"/>
        <v>20220302</v>
      </c>
      <c r="C536" s="5">
        <v>98.7</v>
      </c>
      <c r="D536" s="5">
        <v>89.7</v>
      </c>
      <c r="E536" s="5">
        <v>93.3</v>
      </c>
    </row>
    <row r="537" spans="1:5">
      <c r="A537" s="4" t="str">
        <f>"20228011824"</f>
        <v>20228011824</v>
      </c>
      <c r="B537" s="4" t="str">
        <f t="shared" si="8"/>
        <v>20220302</v>
      </c>
      <c r="C537" s="5">
        <v>92.7</v>
      </c>
      <c r="D537" s="5">
        <v>77.3</v>
      </c>
      <c r="E537" s="5">
        <v>83.46</v>
      </c>
    </row>
    <row r="538" spans="1:5">
      <c r="A538" s="4" t="str">
        <f>"20228011825"</f>
        <v>20228011825</v>
      </c>
      <c r="B538" s="4" t="str">
        <f t="shared" si="8"/>
        <v>20220302</v>
      </c>
      <c r="C538" s="5">
        <v>0</v>
      </c>
      <c r="D538" s="5">
        <v>0</v>
      </c>
      <c r="E538" s="5">
        <v>0</v>
      </c>
    </row>
    <row r="539" spans="1:5">
      <c r="A539" s="4" t="str">
        <f>"20228011826"</f>
        <v>20228011826</v>
      </c>
      <c r="B539" s="4" t="str">
        <f t="shared" si="8"/>
        <v>20220302</v>
      </c>
      <c r="C539" s="5">
        <v>79</v>
      </c>
      <c r="D539" s="5">
        <v>81.4</v>
      </c>
      <c r="E539" s="5">
        <v>80.44</v>
      </c>
    </row>
    <row r="540" spans="1:5">
      <c r="A540" s="4" t="str">
        <f>"20228011827"</f>
        <v>20228011827</v>
      </c>
      <c r="B540" s="4" t="str">
        <f t="shared" si="8"/>
        <v>20220302</v>
      </c>
      <c r="C540" s="5">
        <v>93.7</v>
      </c>
      <c r="D540" s="5">
        <v>89.2</v>
      </c>
      <c r="E540" s="5">
        <v>91</v>
      </c>
    </row>
    <row r="541" spans="1:5">
      <c r="A541" s="4" t="str">
        <f>"20228011828"</f>
        <v>20228011828</v>
      </c>
      <c r="B541" s="4" t="str">
        <f t="shared" si="8"/>
        <v>20220302</v>
      </c>
      <c r="C541" s="5">
        <v>86.1</v>
      </c>
      <c r="D541" s="5">
        <v>85</v>
      </c>
      <c r="E541" s="5">
        <v>85.44</v>
      </c>
    </row>
    <row r="542" spans="1:5">
      <c r="A542" s="4" t="str">
        <f>"20228011829"</f>
        <v>20228011829</v>
      </c>
      <c r="B542" s="4" t="str">
        <f t="shared" si="8"/>
        <v>20220302</v>
      </c>
      <c r="C542" s="5">
        <v>0</v>
      </c>
      <c r="D542" s="5">
        <v>0</v>
      </c>
      <c r="E542" s="5">
        <v>0</v>
      </c>
    </row>
    <row r="543" spans="1:5">
      <c r="A543" s="4" t="str">
        <f>"20228011830"</f>
        <v>20228011830</v>
      </c>
      <c r="B543" s="4" t="str">
        <f t="shared" si="8"/>
        <v>20220302</v>
      </c>
      <c r="C543" s="5">
        <v>95.8</v>
      </c>
      <c r="D543" s="5">
        <v>87.5</v>
      </c>
      <c r="E543" s="5">
        <v>90.82</v>
      </c>
    </row>
    <row r="544" spans="1:5">
      <c r="A544" s="4" t="str">
        <f>"20228011901"</f>
        <v>20228011901</v>
      </c>
      <c r="B544" s="4" t="str">
        <f t="shared" si="8"/>
        <v>20220302</v>
      </c>
      <c r="C544" s="5">
        <v>82.4</v>
      </c>
      <c r="D544" s="5">
        <v>78</v>
      </c>
      <c r="E544" s="5">
        <v>79.76</v>
      </c>
    </row>
    <row r="545" spans="1:5">
      <c r="A545" s="4" t="str">
        <f>"20228011902"</f>
        <v>20228011902</v>
      </c>
      <c r="B545" s="4" t="str">
        <f t="shared" si="8"/>
        <v>20220302</v>
      </c>
      <c r="C545" s="5">
        <v>94.4</v>
      </c>
      <c r="D545" s="5">
        <v>82.7</v>
      </c>
      <c r="E545" s="5">
        <v>87.38</v>
      </c>
    </row>
    <row r="546" spans="1:5">
      <c r="A546" s="4" t="str">
        <f>"20228011903"</f>
        <v>20228011903</v>
      </c>
      <c r="B546" s="4" t="str">
        <f t="shared" si="8"/>
        <v>20220302</v>
      </c>
      <c r="C546" s="5">
        <v>0</v>
      </c>
      <c r="D546" s="5">
        <v>46.8</v>
      </c>
      <c r="E546" s="5">
        <v>28.08</v>
      </c>
    </row>
    <row r="547" spans="1:5">
      <c r="A547" s="4" t="str">
        <f>"20228011904"</f>
        <v>20228011904</v>
      </c>
      <c r="B547" s="4" t="str">
        <f t="shared" si="8"/>
        <v>20220302</v>
      </c>
      <c r="C547" s="5">
        <v>0</v>
      </c>
      <c r="D547" s="5">
        <v>0</v>
      </c>
      <c r="E547" s="5">
        <v>0</v>
      </c>
    </row>
    <row r="548" spans="1:5">
      <c r="A548" s="4" t="str">
        <f>"20228011905"</f>
        <v>20228011905</v>
      </c>
      <c r="B548" s="4" t="str">
        <f t="shared" si="8"/>
        <v>20220302</v>
      </c>
      <c r="C548" s="5">
        <v>78.8</v>
      </c>
      <c r="D548" s="5">
        <v>68.8</v>
      </c>
      <c r="E548" s="5">
        <v>72.8</v>
      </c>
    </row>
    <row r="549" spans="1:5">
      <c r="A549" s="4" t="str">
        <f>"20228011906"</f>
        <v>20228011906</v>
      </c>
      <c r="B549" s="4" t="str">
        <f t="shared" si="8"/>
        <v>20220302</v>
      </c>
      <c r="C549" s="5">
        <v>81.6</v>
      </c>
      <c r="D549" s="5">
        <v>77.4</v>
      </c>
      <c r="E549" s="5">
        <v>79.08</v>
      </c>
    </row>
    <row r="550" spans="1:5">
      <c r="A550" s="4" t="str">
        <f>"20228011907"</f>
        <v>20228011907</v>
      </c>
      <c r="B550" s="4" t="str">
        <f t="shared" si="8"/>
        <v>20220302</v>
      </c>
      <c r="C550" s="5">
        <v>94.8</v>
      </c>
      <c r="D550" s="5">
        <v>87.7</v>
      </c>
      <c r="E550" s="5">
        <v>90.54</v>
      </c>
    </row>
    <row r="551" spans="1:5">
      <c r="A551" s="4" t="str">
        <f>"20228011908"</f>
        <v>20228011908</v>
      </c>
      <c r="B551" s="4" t="str">
        <f t="shared" si="8"/>
        <v>20220302</v>
      </c>
      <c r="C551" s="5">
        <v>80.6</v>
      </c>
      <c r="D551" s="5">
        <v>82</v>
      </c>
      <c r="E551" s="5">
        <v>81.44</v>
      </c>
    </row>
    <row r="552" spans="1:5">
      <c r="A552" s="4" t="str">
        <f>"20228011909"</f>
        <v>20228011909</v>
      </c>
      <c r="B552" s="4" t="str">
        <f t="shared" si="8"/>
        <v>20220302</v>
      </c>
      <c r="C552" s="5">
        <v>63.1</v>
      </c>
      <c r="D552" s="5">
        <v>89.1</v>
      </c>
      <c r="E552" s="5">
        <v>78.7</v>
      </c>
    </row>
    <row r="553" spans="1:5">
      <c r="A553" s="4" t="str">
        <f>"20228011910"</f>
        <v>20228011910</v>
      </c>
      <c r="B553" s="4" t="str">
        <f t="shared" si="8"/>
        <v>20220302</v>
      </c>
      <c r="C553" s="5">
        <v>80.6</v>
      </c>
      <c r="D553" s="5">
        <v>78</v>
      </c>
      <c r="E553" s="5">
        <v>79.04</v>
      </c>
    </row>
    <row r="554" spans="1:5">
      <c r="A554" s="4" t="str">
        <f>"20228011911"</f>
        <v>20228011911</v>
      </c>
      <c r="B554" s="4" t="str">
        <f t="shared" si="8"/>
        <v>20220302</v>
      </c>
      <c r="C554" s="5">
        <v>94.6</v>
      </c>
      <c r="D554" s="5">
        <v>89.3</v>
      </c>
      <c r="E554" s="5">
        <v>91.42</v>
      </c>
    </row>
    <row r="555" spans="1:5">
      <c r="A555" s="4" t="str">
        <f>"20228011912"</f>
        <v>20228011912</v>
      </c>
      <c r="B555" s="4" t="str">
        <f t="shared" si="8"/>
        <v>20220302</v>
      </c>
      <c r="C555" s="5">
        <v>88.6</v>
      </c>
      <c r="D555" s="5">
        <v>81.3</v>
      </c>
      <c r="E555" s="5">
        <v>84.22</v>
      </c>
    </row>
    <row r="556" spans="1:5">
      <c r="A556" s="4" t="str">
        <f>"20228011913"</f>
        <v>20228011913</v>
      </c>
      <c r="B556" s="4" t="str">
        <f t="shared" si="8"/>
        <v>20220302</v>
      </c>
      <c r="C556" s="5">
        <v>84.6</v>
      </c>
      <c r="D556" s="5">
        <v>91.7</v>
      </c>
      <c r="E556" s="5">
        <v>88.86</v>
      </c>
    </row>
    <row r="557" spans="1:5">
      <c r="A557" s="4" t="str">
        <f>"20228011914"</f>
        <v>20228011914</v>
      </c>
      <c r="B557" s="4" t="str">
        <f t="shared" si="8"/>
        <v>20220302</v>
      </c>
      <c r="C557" s="5">
        <v>93.8</v>
      </c>
      <c r="D557" s="5">
        <v>78.9</v>
      </c>
      <c r="E557" s="5">
        <v>84.86</v>
      </c>
    </row>
    <row r="558" spans="1:5">
      <c r="A558" s="4" t="str">
        <f>"20228011915"</f>
        <v>20228011915</v>
      </c>
      <c r="B558" s="4" t="str">
        <f t="shared" si="8"/>
        <v>20220302</v>
      </c>
      <c r="C558" s="5">
        <v>0</v>
      </c>
      <c r="D558" s="5">
        <v>0</v>
      </c>
      <c r="E558" s="5">
        <v>0</v>
      </c>
    </row>
    <row r="559" spans="1:5">
      <c r="A559" s="4" t="str">
        <f>"20228011916"</f>
        <v>20228011916</v>
      </c>
      <c r="B559" s="4" t="str">
        <f t="shared" si="8"/>
        <v>20220302</v>
      </c>
      <c r="C559" s="5">
        <v>91.8</v>
      </c>
      <c r="D559" s="5">
        <v>85</v>
      </c>
      <c r="E559" s="5">
        <v>87.72</v>
      </c>
    </row>
    <row r="560" spans="1:5">
      <c r="A560" s="4" t="str">
        <f>"20228011917"</f>
        <v>20228011917</v>
      </c>
      <c r="B560" s="4" t="str">
        <f t="shared" si="8"/>
        <v>20220302</v>
      </c>
      <c r="C560" s="5">
        <v>90.2</v>
      </c>
      <c r="D560" s="5">
        <v>97.1</v>
      </c>
      <c r="E560" s="5">
        <v>94.34</v>
      </c>
    </row>
    <row r="561" spans="1:5">
      <c r="A561" s="4" t="str">
        <f>"20228011918"</f>
        <v>20228011918</v>
      </c>
      <c r="B561" s="4" t="str">
        <f t="shared" si="8"/>
        <v>20220302</v>
      </c>
      <c r="C561" s="5">
        <v>94.8</v>
      </c>
      <c r="D561" s="5">
        <v>83.6</v>
      </c>
      <c r="E561" s="5">
        <v>88.08</v>
      </c>
    </row>
    <row r="562" spans="1:5">
      <c r="A562" s="4" t="str">
        <f>"20228011919"</f>
        <v>20228011919</v>
      </c>
      <c r="B562" s="4" t="str">
        <f t="shared" si="8"/>
        <v>20220302</v>
      </c>
      <c r="C562" s="5">
        <v>92.6</v>
      </c>
      <c r="D562" s="5">
        <v>95.6</v>
      </c>
      <c r="E562" s="5">
        <v>94.4</v>
      </c>
    </row>
    <row r="563" spans="1:5">
      <c r="A563" s="4" t="str">
        <f>"20228011920"</f>
        <v>20228011920</v>
      </c>
      <c r="B563" s="4" t="str">
        <f t="shared" si="8"/>
        <v>20220302</v>
      </c>
      <c r="C563" s="5">
        <v>90.2</v>
      </c>
      <c r="D563" s="5">
        <v>75.6</v>
      </c>
      <c r="E563" s="5">
        <v>81.44</v>
      </c>
    </row>
    <row r="564" spans="1:5">
      <c r="A564" s="4" t="str">
        <f>"20228011921"</f>
        <v>20228011921</v>
      </c>
      <c r="B564" s="4" t="str">
        <f t="shared" ref="B564:B627" si="9">"20220302"</f>
        <v>20220302</v>
      </c>
      <c r="C564" s="5">
        <v>94.8</v>
      </c>
      <c r="D564" s="5">
        <v>80.4</v>
      </c>
      <c r="E564" s="5">
        <v>86.16</v>
      </c>
    </row>
    <row r="565" spans="1:5">
      <c r="A565" s="4" t="str">
        <f>"20228011922"</f>
        <v>20228011922</v>
      </c>
      <c r="B565" s="4" t="str">
        <f t="shared" si="9"/>
        <v>20220302</v>
      </c>
      <c r="C565" s="5">
        <v>0</v>
      </c>
      <c r="D565" s="5">
        <v>0</v>
      </c>
      <c r="E565" s="5">
        <v>0</v>
      </c>
    </row>
    <row r="566" spans="1:5">
      <c r="A566" s="4" t="str">
        <f>"20228011923"</f>
        <v>20228011923</v>
      </c>
      <c r="B566" s="4" t="str">
        <f t="shared" si="9"/>
        <v>20220302</v>
      </c>
      <c r="C566" s="5">
        <v>82.1</v>
      </c>
      <c r="D566" s="5">
        <v>83.3</v>
      </c>
      <c r="E566" s="5">
        <v>82.82</v>
      </c>
    </row>
    <row r="567" spans="1:5">
      <c r="A567" s="4" t="str">
        <f>"20228011924"</f>
        <v>20228011924</v>
      </c>
      <c r="B567" s="4" t="str">
        <f t="shared" si="9"/>
        <v>20220302</v>
      </c>
      <c r="C567" s="5">
        <v>0</v>
      </c>
      <c r="D567" s="5">
        <v>0</v>
      </c>
      <c r="E567" s="5">
        <v>0</v>
      </c>
    </row>
    <row r="568" spans="1:5">
      <c r="A568" s="4" t="str">
        <f>"20228011925"</f>
        <v>20228011925</v>
      </c>
      <c r="B568" s="4" t="str">
        <f t="shared" si="9"/>
        <v>20220302</v>
      </c>
      <c r="C568" s="5">
        <v>90.7</v>
      </c>
      <c r="D568" s="5">
        <v>89.4</v>
      </c>
      <c r="E568" s="5">
        <v>89.92</v>
      </c>
    </row>
    <row r="569" spans="1:5">
      <c r="A569" s="4" t="str">
        <f>"20228011926"</f>
        <v>20228011926</v>
      </c>
      <c r="B569" s="4" t="str">
        <f t="shared" si="9"/>
        <v>20220302</v>
      </c>
      <c r="C569" s="5">
        <v>68.6</v>
      </c>
      <c r="D569" s="5">
        <v>77.1</v>
      </c>
      <c r="E569" s="5">
        <v>73.7</v>
      </c>
    </row>
    <row r="570" spans="1:5">
      <c r="A570" s="4" t="str">
        <f>"20228011927"</f>
        <v>20228011927</v>
      </c>
      <c r="B570" s="4" t="str">
        <f t="shared" si="9"/>
        <v>20220302</v>
      </c>
      <c r="C570" s="5">
        <v>0</v>
      </c>
      <c r="D570" s="5">
        <v>0</v>
      </c>
      <c r="E570" s="5">
        <v>0</v>
      </c>
    </row>
    <row r="571" spans="1:5">
      <c r="A571" s="4" t="str">
        <f>"20228011928"</f>
        <v>20228011928</v>
      </c>
      <c r="B571" s="4" t="str">
        <f t="shared" si="9"/>
        <v>20220302</v>
      </c>
      <c r="C571" s="5">
        <v>97</v>
      </c>
      <c r="D571" s="5">
        <v>89.5</v>
      </c>
      <c r="E571" s="5">
        <v>92.5</v>
      </c>
    </row>
    <row r="572" spans="1:5">
      <c r="A572" s="4" t="str">
        <f>"20228011929"</f>
        <v>20228011929</v>
      </c>
      <c r="B572" s="4" t="str">
        <f t="shared" si="9"/>
        <v>20220302</v>
      </c>
      <c r="C572" s="5">
        <v>0</v>
      </c>
      <c r="D572" s="5">
        <v>0</v>
      </c>
      <c r="E572" s="5">
        <v>0</v>
      </c>
    </row>
    <row r="573" spans="1:5">
      <c r="A573" s="4" t="str">
        <f>"20228011930"</f>
        <v>20228011930</v>
      </c>
      <c r="B573" s="4" t="str">
        <f t="shared" si="9"/>
        <v>20220302</v>
      </c>
      <c r="C573" s="5">
        <v>87</v>
      </c>
      <c r="D573" s="5">
        <v>81.4</v>
      </c>
      <c r="E573" s="5">
        <v>83.64</v>
      </c>
    </row>
    <row r="574" spans="1:5">
      <c r="A574" s="4" t="str">
        <f>"20228012001"</f>
        <v>20228012001</v>
      </c>
      <c r="B574" s="4" t="str">
        <f t="shared" si="9"/>
        <v>20220302</v>
      </c>
      <c r="C574" s="5">
        <v>71.5</v>
      </c>
      <c r="D574" s="5">
        <v>80.2</v>
      </c>
      <c r="E574" s="5">
        <v>76.72</v>
      </c>
    </row>
    <row r="575" spans="1:5">
      <c r="A575" s="4" t="str">
        <f>"20228012002"</f>
        <v>20228012002</v>
      </c>
      <c r="B575" s="4" t="str">
        <f t="shared" si="9"/>
        <v>20220302</v>
      </c>
      <c r="C575" s="5">
        <v>101</v>
      </c>
      <c r="D575" s="5">
        <v>84.5</v>
      </c>
      <c r="E575" s="5">
        <v>91.1</v>
      </c>
    </row>
    <row r="576" spans="1:5">
      <c r="A576" s="4" t="str">
        <f>"20228012003"</f>
        <v>20228012003</v>
      </c>
      <c r="B576" s="4" t="str">
        <f t="shared" si="9"/>
        <v>20220302</v>
      </c>
      <c r="C576" s="5">
        <v>76.1</v>
      </c>
      <c r="D576" s="5">
        <v>83.3</v>
      </c>
      <c r="E576" s="5">
        <v>80.42</v>
      </c>
    </row>
    <row r="577" spans="1:5">
      <c r="A577" s="4" t="str">
        <f>"20228012004"</f>
        <v>20228012004</v>
      </c>
      <c r="B577" s="4" t="str">
        <f t="shared" si="9"/>
        <v>20220302</v>
      </c>
      <c r="C577" s="5">
        <v>84.2</v>
      </c>
      <c r="D577" s="5">
        <v>87.9</v>
      </c>
      <c r="E577" s="5">
        <v>86.42</v>
      </c>
    </row>
    <row r="578" spans="1:5">
      <c r="A578" s="4" t="str">
        <f>"20228012005"</f>
        <v>20228012005</v>
      </c>
      <c r="B578" s="4" t="str">
        <f t="shared" si="9"/>
        <v>20220302</v>
      </c>
      <c r="C578" s="5">
        <v>101.7</v>
      </c>
      <c r="D578" s="5">
        <v>94.7</v>
      </c>
      <c r="E578" s="5">
        <v>97.5</v>
      </c>
    </row>
    <row r="579" spans="1:5">
      <c r="A579" s="4" t="str">
        <f>"20228012006"</f>
        <v>20228012006</v>
      </c>
      <c r="B579" s="4" t="str">
        <f t="shared" si="9"/>
        <v>20220302</v>
      </c>
      <c r="C579" s="5">
        <v>98.3</v>
      </c>
      <c r="D579" s="5">
        <v>88</v>
      </c>
      <c r="E579" s="5">
        <v>92.12</v>
      </c>
    </row>
    <row r="580" spans="1:5">
      <c r="A580" s="4" t="str">
        <f>"20228012007"</f>
        <v>20228012007</v>
      </c>
      <c r="B580" s="4" t="str">
        <f t="shared" si="9"/>
        <v>20220302</v>
      </c>
      <c r="C580" s="5">
        <v>87.5</v>
      </c>
      <c r="D580" s="5">
        <v>77.1</v>
      </c>
      <c r="E580" s="5">
        <v>81.26</v>
      </c>
    </row>
    <row r="581" spans="1:5">
      <c r="A581" s="4" t="str">
        <f>"20228012008"</f>
        <v>20228012008</v>
      </c>
      <c r="B581" s="4" t="str">
        <f t="shared" si="9"/>
        <v>20220302</v>
      </c>
      <c r="C581" s="5">
        <v>90.8</v>
      </c>
      <c r="D581" s="5">
        <v>96.9</v>
      </c>
      <c r="E581" s="5">
        <v>94.46</v>
      </c>
    </row>
    <row r="582" spans="1:5">
      <c r="A582" s="4" t="str">
        <f>"20228012009"</f>
        <v>20228012009</v>
      </c>
      <c r="B582" s="4" t="str">
        <f t="shared" si="9"/>
        <v>20220302</v>
      </c>
      <c r="C582" s="5">
        <v>89.1</v>
      </c>
      <c r="D582" s="5">
        <v>84.7</v>
      </c>
      <c r="E582" s="5">
        <v>86.46</v>
      </c>
    </row>
    <row r="583" spans="1:5">
      <c r="A583" s="4" t="str">
        <f>"20228012010"</f>
        <v>20228012010</v>
      </c>
      <c r="B583" s="4" t="str">
        <f t="shared" si="9"/>
        <v>20220302</v>
      </c>
      <c r="C583" s="5">
        <v>100.1</v>
      </c>
      <c r="D583" s="5">
        <v>89.5</v>
      </c>
      <c r="E583" s="5">
        <v>93.74</v>
      </c>
    </row>
    <row r="584" spans="1:5">
      <c r="A584" s="4" t="str">
        <f>"20228012011"</f>
        <v>20228012011</v>
      </c>
      <c r="B584" s="4" t="str">
        <f t="shared" si="9"/>
        <v>20220302</v>
      </c>
      <c r="C584" s="5">
        <v>0</v>
      </c>
      <c r="D584" s="5">
        <v>0</v>
      </c>
      <c r="E584" s="5">
        <v>0</v>
      </c>
    </row>
    <row r="585" spans="1:5">
      <c r="A585" s="4" t="str">
        <f>"20228012012"</f>
        <v>20228012012</v>
      </c>
      <c r="B585" s="4" t="str">
        <f t="shared" si="9"/>
        <v>20220302</v>
      </c>
      <c r="C585" s="5">
        <v>90</v>
      </c>
      <c r="D585" s="5">
        <v>86.5</v>
      </c>
      <c r="E585" s="5">
        <v>87.9</v>
      </c>
    </row>
    <row r="586" spans="1:5">
      <c r="A586" s="4" t="str">
        <f>"20228012013"</f>
        <v>20228012013</v>
      </c>
      <c r="B586" s="4" t="str">
        <f t="shared" si="9"/>
        <v>20220302</v>
      </c>
      <c r="C586" s="5">
        <v>83.4</v>
      </c>
      <c r="D586" s="5">
        <v>88.4</v>
      </c>
      <c r="E586" s="5">
        <v>86.4</v>
      </c>
    </row>
    <row r="587" spans="1:5">
      <c r="A587" s="4" t="str">
        <f>"20228012014"</f>
        <v>20228012014</v>
      </c>
      <c r="B587" s="4" t="str">
        <f t="shared" si="9"/>
        <v>20220302</v>
      </c>
      <c r="C587" s="5">
        <v>0</v>
      </c>
      <c r="D587" s="5">
        <v>0</v>
      </c>
      <c r="E587" s="5">
        <v>0</v>
      </c>
    </row>
    <row r="588" spans="1:5">
      <c r="A588" s="4" t="str">
        <f>"20228012015"</f>
        <v>20228012015</v>
      </c>
      <c r="B588" s="4" t="str">
        <f t="shared" si="9"/>
        <v>20220302</v>
      </c>
      <c r="C588" s="5">
        <v>89.3</v>
      </c>
      <c r="D588" s="5">
        <v>68.9</v>
      </c>
      <c r="E588" s="5">
        <v>77.06</v>
      </c>
    </row>
    <row r="589" spans="1:5">
      <c r="A589" s="4" t="str">
        <f>"20228012016"</f>
        <v>20228012016</v>
      </c>
      <c r="B589" s="4" t="str">
        <f t="shared" si="9"/>
        <v>20220302</v>
      </c>
      <c r="C589" s="5">
        <v>93.2</v>
      </c>
      <c r="D589" s="5">
        <v>88.7</v>
      </c>
      <c r="E589" s="5">
        <v>90.5</v>
      </c>
    </row>
    <row r="590" spans="1:5">
      <c r="A590" s="4" t="str">
        <f>"20228012017"</f>
        <v>20228012017</v>
      </c>
      <c r="B590" s="4" t="str">
        <f t="shared" si="9"/>
        <v>20220302</v>
      </c>
      <c r="C590" s="5">
        <v>89</v>
      </c>
      <c r="D590" s="5">
        <v>79.6</v>
      </c>
      <c r="E590" s="5">
        <v>83.36</v>
      </c>
    </row>
    <row r="591" spans="1:5">
      <c r="A591" s="4" t="str">
        <f>"20228012018"</f>
        <v>20228012018</v>
      </c>
      <c r="B591" s="4" t="str">
        <f t="shared" si="9"/>
        <v>20220302</v>
      </c>
      <c r="C591" s="5">
        <v>0</v>
      </c>
      <c r="D591" s="5">
        <v>0</v>
      </c>
      <c r="E591" s="5">
        <v>0</v>
      </c>
    </row>
    <row r="592" spans="1:5">
      <c r="A592" s="4" t="str">
        <f>"20228012019"</f>
        <v>20228012019</v>
      </c>
      <c r="B592" s="4" t="str">
        <f t="shared" si="9"/>
        <v>20220302</v>
      </c>
      <c r="C592" s="5">
        <v>0</v>
      </c>
      <c r="D592" s="5">
        <v>0</v>
      </c>
      <c r="E592" s="5">
        <v>0</v>
      </c>
    </row>
    <row r="593" spans="1:5">
      <c r="A593" s="4" t="str">
        <f>"20228012020"</f>
        <v>20228012020</v>
      </c>
      <c r="B593" s="4" t="str">
        <f t="shared" si="9"/>
        <v>20220302</v>
      </c>
      <c r="C593" s="5">
        <v>89</v>
      </c>
      <c r="D593" s="5">
        <v>84.4</v>
      </c>
      <c r="E593" s="5">
        <v>86.24</v>
      </c>
    </row>
    <row r="594" spans="1:5">
      <c r="A594" s="4" t="str">
        <f>"20228012021"</f>
        <v>20228012021</v>
      </c>
      <c r="B594" s="4" t="str">
        <f t="shared" si="9"/>
        <v>20220302</v>
      </c>
      <c r="C594" s="5">
        <v>93.3</v>
      </c>
      <c r="D594" s="5">
        <v>89</v>
      </c>
      <c r="E594" s="5">
        <v>90.72</v>
      </c>
    </row>
    <row r="595" spans="1:5">
      <c r="A595" s="4" t="str">
        <f>"20228012022"</f>
        <v>20228012022</v>
      </c>
      <c r="B595" s="4" t="str">
        <f t="shared" si="9"/>
        <v>20220302</v>
      </c>
      <c r="C595" s="5">
        <v>0</v>
      </c>
      <c r="D595" s="5">
        <v>0</v>
      </c>
      <c r="E595" s="5">
        <v>0</v>
      </c>
    </row>
    <row r="596" spans="1:5">
      <c r="A596" s="4" t="str">
        <f>"20228012023"</f>
        <v>20228012023</v>
      </c>
      <c r="B596" s="4" t="str">
        <f t="shared" si="9"/>
        <v>20220302</v>
      </c>
      <c r="C596" s="5">
        <v>77.7</v>
      </c>
      <c r="D596" s="5">
        <v>81.3</v>
      </c>
      <c r="E596" s="5">
        <v>79.86</v>
      </c>
    </row>
    <row r="597" spans="1:5">
      <c r="A597" s="4" t="str">
        <f>"20228012024"</f>
        <v>20228012024</v>
      </c>
      <c r="B597" s="4" t="str">
        <f t="shared" si="9"/>
        <v>20220302</v>
      </c>
      <c r="C597" s="5">
        <v>0</v>
      </c>
      <c r="D597" s="5">
        <v>0</v>
      </c>
      <c r="E597" s="5">
        <v>0</v>
      </c>
    </row>
    <row r="598" spans="1:5">
      <c r="A598" s="4" t="str">
        <f>"20228012025"</f>
        <v>20228012025</v>
      </c>
      <c r="B598" s="4" t="str">
        <f t="shared" si="9"/>
        <v>20220302</v>
      </c>
      <c r="C598" s="5">
        <v>84.9</v>
      </c>
      <c r="D598" s="5">
        <v>95.6</v>
      </c>
      <c r="E598" s="5">
        <v>91.32</v>
      </c>
    </row>
    <row r="599" spans="1:5">
      <c r="A599" s="4" t="str">
        <f>"20228012026"</f>
        <v>20228012026</v>
      </c>
      <c r="B599" s="4" t="str">
        <f t="shared" si="9"/>
        <v>20220302</v>
      </c>
      <c r="C599" s="5">
        <v>96.4</v>
      </c>
      <c r="D599" s="5">
        <v>89.1</v>
      </c>
      <c r="E599" s="5">
        <v>92.02</v>
      </c>
    </row>
    <row r="600" spans="1:5">
      <c r="A600" s="4" t="str">
        <f>"20228012027"</f>
        <v>20228012027</v>
      </c>
      <c r="B600" s="4" t="str">
        <f t="shared" si="9"/>
        <v>20220302</v>
      </c>
      <c r="C600" s="5">
        <v>81</v>
      </c>
      <c r="D600" s="5">
        <v>77.8</v>
      </c>
      <c r="E600" s="5">
        <v>79.08</v>
      </c>
    </row>
    <row r="601" spans="1:5">
      <c r="A601" s="4" t="str">
        <f>"20228012028"</f>
        <v>20228012028</v>
      </c>
      <c r="B601" s="4" t="str">
        <f t="shared" si="9"/>
        <v>20220302</v>
      </c>
      <c r="C601" s="5">
        <v>93.4</v>
      </c>
      <c r="D601" s="5">
        <v>72.9</v>
      </c>
      <c r="E601" s="5">
        <v>81.1</v>
      </c>
    </row>
    <row r="602" spans="1:5">
      <c r="A602" s="4" t="str">
        <f>"20228012029"</f>
        <v>20228012029</v>
      </c>
      <c r="B602" s="4" t="str">
        <f t="shared" si="9"/>
        <v>20220302</v>
      </c>
      <c r="C602" s="5">
        <v>0</v>
      </c>
      <c r="D602" s="5">
        <v>0</v>
      </c>
      <c r="E602" s="5">
        <v>0</v>
      </c>
    </row>
    <row r="603" spans="1:5">
      <c r="A603" s="4" t="str">
        <f>"20228012030"</f>
        <v>20228012030</v>
      </c>
      <c r="B603" s="4" t="str">
        <f t="shared" si="9"/>
        <v>20220302</v>
      </c>
      <c r="C603" s="5">
        <v>100.3</v>
      </c>
      <c r="D603" s="5">
        <v>88.9</v>
      </c>
      <c r="E603" s="5">
        <v>93.46</v>
      </c>
    </row>
    <row r="604" spans="1:5">
      <c r="A604" s="4" t="str">
        <f>"20228012101"</f>
        <v>20228012101</v>
      </c>
      <c r="B604" s="4" t="str">
        <f t="shared" si="9"/>
        <v>20220302</v>
      </c>
      <c r="C604" s="5">
        <v>0</v>
      </c>
      <c r="D604" s="5">
        <v>0</v>
      </c>
      <c r="E604" s="5">
        <v>0</v>
      </c>
    </row>
    <row r="605" spans="1:5">
      <c r="A605" s="4" t="str">
        <f>"20228012102"</f>
        <v>20228012102</v>
      </c>
      <c r="B605" s="4" t="str">
        <f t="shared" si="9"/>
        <v>20220302</v>
      </c>
      <c r="C605" s="5">
        <v>98.4</v>
      </c>
      <c r="D605" s="5">
        <v>89.9</v>
      </c>
      <c r="E605" s="5">
        <v>93.3</v>
      </c>
    </row>
    <row r="606" spans="1:5">
      <c r="A606" s="4" t="str">
        <f>"20228012103"</f>
        <v>20228012103</v>
      </c>
      <c r="B606" s="4" t="str">
        <f t="shared" si="9"/>
        <v>20220302</v>
      </c>
      <c r="C606" s="5">
        <v>89.6</v>
      </c>
      <c r="D606" s="5">
        <v>79.5</v>
      </c>
      <c r="E606" s="5">
        <v>83.54</v>
      </c>
    </row>
    <row r="607" spans="1:5">
      <c r="A607" s="4" t="str">
        <f>"20228012104"</f>
        <v>20228012104</v>
      </c>
      <c r="B607" s="4" t="str">
        <f t="shared" si="9"/>
        <v>20220302</v>
      </c>
      <c r="C607" s="5">
        <v>85.6</v>
      </c>
      <c r="D607" s="5">
        <v>79.7</v>
      </c>
      <c r="E607" s="5">
        <v>82.06</v>
      </c>
    </row>
    <row r="608" spans="1:5">
      <c r="A608" s="4" t="str">
        <f>"20228012105"</f>
        <v>20228012105</v>
      </c>
      <c r="B608" s="4" t="str">
        <f t="shared" si="9"/>
        <v>20220302</v>
      </c>
      <c r="C608" s="5">
        <v>71.9</v>
      </c>
      <c r="D608" s="5">
        <v>71.5</v>
      </c>
      <c r="E608" s="5">
        <v>71.66</v>
      </c>
    </row>
    <row r="609" spans="1:5">
      <c r="A609" s="4" t="str">
        <f>"20228012106"</f>
        <v>20228012106</v>
      </c>
      <c r="B609" s="4" t="str">
        <f t="shared" si="9"/>
        <v>20220302</v>
      </c>
      <c r="C609" s="5">
        <v>80.8</v>
      </c>
      <c r="D609" s="5">
        <v>86.3</v>
      </c>
      <c r="E609" s="5">
        <v>84.1</v>
      </c>
    </row>
    <row r="610" spans="1:5">
      <c r="A610" s="4" t="str">
        <f>"20228012107"</f>
        <v>20228012107</v>
      </c>
      <c r="B610" s="4" t="str">
        <f t="shared" si="9"/>
        <v>20220302</v>
      </c>
      <c r="C610" s="5">
        <v>92.7</v>
      </c>
      <c r="D610" s="5">
        <v>79.4</v>
      </c>
      <c r="E610" s="5">
        <v>84.72</v>
      </c>
    </row>
    <row r="611" spans="1:5">
      <c r="A611" s="4" t="str">
        <f>"20228012108"</f>
        <v>20228012108</v>
      </c>
      <c r="B611" s="4" t="str">
        <f t="shared" si="9"/>
        <v>20220302</v>
      </c>
      <c r="C611" s="5">
        <v>94.8</v>
      </c>
      <c r="D611" s="5">
        <v>85.3</v>
      </c>
      <c r="E611" s="5">
        <v>89.1</v>
      </c>
    </row>
    <row r="612" spans="1:5">
      <c r="A612" s="4" t="str">
        <f>"20228012109"</f>
        <v>20228012109</v>
      </c>
      <c r="B612" s="4" t="str">
        <f t="shared" si="9"/>
        <v>20220302</v>
      </c>
      <c r="C612" s="5">
        <v>85.3</v>
      </c>
      <c r="D612" s="5">
        <v>90.1</v>
      </c>
      <c r="E612" s="5">
        <v>88.18</v>
      </c>
    </row>
    <row r="613" spans="1:5">
      <c r="A613" s="4" t="str">
        <f>"20228012110"</f>
        <v>20228012110</v>
      </c>
      <c r="B613" s="4" t="str">
        <f t="shared" si="9"/>
        <v>20220302</v>
      </c>
      <c r="C613" s="5">
        <v>0</v>
      </c>
      <c r="D613" s="5">
        <v>0</v>
      </c>
      <c r="E613" s="5">
        <v>0</v>
      </c>
    </row>
    <row r="614" spans="1:5">
      <c r="A614" s="4" t="str">
        <f>"20228012111"</f>
        <v>20228012111</v>
      </c>
      <c r="B614" s="4" t="str">
        <f t="shared" si="9"/>
        <v>20220302</v>
      </c>
      <c r="C614" s="5">
        <v>80.9</v>
      </c>
      <c r="D614" s="5">
        <v>79.6</v>
      </c>
      <c r="E614" s="5">
        <v>80.12</v>
      </c>
    </row>
    <row r="615" spans="1:5">
      <c r="A615" s="4" t="str">
        <f>"20228012112"</f>
        <v>20228012112</v>
      </c>
      <c r="B615" s="4" t="str">
        <f t="shared" si="9"/>
        <v>20220302</v>
      </c>
      <c r="C615" s="5">
        <v>95.8</v>
      </c>
      <c r="D615" s="5">
        <v>80</v>
      </c>
      <c r="E615" s="5">
        <v>86.32</v>
      </c>
    </row>
    <row r="616" spans="1:5">
      <c r="A616" s="4" t="str">
        <f>"20228012113"</f>
        <v>20228012113</v>
      </c>
      <c r="B616" s="4" t="str">
        <f t="shared" si="9"/>
        <v>20220302</v>
      </c>
      <c r="C616" s="5">
        <v>0</v>
      </c>
      <c r="D616" s="5">
        <v>0</v>
      </c>
      <c r="E616" s="5">
        <v>0</v>
      </c>
    </row>
    <row r="617" spans="1:5">
      <c r="A617" s="4" t="str">
        <f>"20228012114"</f>
        <v>20228012114</v>
      </c>
      <c r="B617" s="4" t="str">
        <f t="shared" si="9"/>
        <v>20220302</v>
      </c>
      <c r="C617" s="5">
        <v>79.9</v>
      </c>
      <c r="D617" s="5">
        <v>85.2</v>
      </c>
      <c r="E617" s="5">
        <v>83.08</v>
      </c>
    </row>
    <row r="618" spans="1:5">
      <c r="A618" s="4" t="str">
        <f>"20228012115"</f>
        <v>20228012115</v>
      </c>
      <c r="B618" s="4" t="str">
        <f t="shared" si="9"/>
        <v>20220302</v>
      </c>
      <c r="C618" s="5">
        <v>90.9</v>
      </c>
      <c r="D618" s="5">
        <v>84.3</v>
      </c>
      <c r="E618" s="5">
        <v>86.94</v>
      </c>
    </row>
    <row r="619" spans="1:5">
      <c r="A619" s="4" t="str">
        <f>"20228012116"</f>
        <v>20228012116</v>
      </c>
      <c r="B619" s="4" t="str">
        <f t="shared" si="9"/>
        <v>20220302</v>
      </c>
      <c r="C619" s="5">
        <v>0</v>
      </c>
      <c r="D619" s="5">
        <v>0</v>
      </c>
      <c r="E619" s="5">
        <v>0</v>
      </c>
    </row>
    <row r="620" spans="1:5">
      <c r="A620" s="4" t="str">
        <f>"20228012117"</f>
        <v>20228012117</v>
      </c>
      <c r="B620" s="4" t="str">
        <f t="shared" si="9"/>
        <v>20220302</v>
      </c>
      <c r="C620" s="5">
        <v>0</v>
      </c>
      <c r="D620" s="5">
        <v>0</v>
      </c>
      <c r="E620" s="5">
        <v>0</v>
      </c>
    </row>
    <row r="621" spans="1:5">
      <c r="A621" s="4" t="str">
        <f>"20228012118"</f>
        <v>20228012118</v>
      </c>
      <c r="B621" s="4" t="str">
        <f t="shared" si="9"/>
        <v>20220302</v>
      </c>
      <c r="C621" s="5">
        <v>0</v>
      </c>
      <c r="D621" s="5">
        <v>0</v>
      </c>
      <c r="E621" s="5">
        <v>0</v>
      </c>
    </row>
    <row r="622" spans="1:5">
      <c r="A622" s="4" t="str">
        <f>"20228012119"</f>
        <v>20228012119</v>
      </c>
      <c r="B622" s="4" t="str">
        <f t="shared" si="9"/>
        <v>20220302</v>
      </c>
      <c r="C622" s="5">
        <v>0</v>
      </c>
      <c r="D622" s="5">
        <v>0</v>
      </c>
      <c r="E622" s="5">
        <v>0</v>
      </c>
    </row>
    <row r="623" spans="1:5">
      <c r="A623" s="4" t="str">
        <f>"20228012120"</f>
        <v>20228012120</v>
      </c>
      <c r="B623" s="4" t="str">
        <f t="shared" si="9"/>
        <v>20220302</v>
      </c>
      <c r="C623" s="5">
        <v>91.9</v>
      </c>
      <c r="D623" s="5">
        <v>93.1</v>
      </c>
      <c r="E623" s="5">
        <v>92.62</v>
      </c>
    </row>
    <row r="624" spans="1:5">
      <c r="A624" s="4" t="str">
        <f>"20228012121"</f>
        <v>20228012121</v>
      </c>
      <c r="B624" s="4" t="str">
        <f t="shared" si="9"/>
        <v>20220302</v>
      </c>
      <c r="C624" s="5">
        <v>0</v>
      </c>
      <c r="D624" s="5">
        <v>0</v>
      </c>
      <c r="E624" s="5">
        <v>0</v>
      </c>
    </row>
    <row r="625" spans="1:5">
      <c r="A625" s="4" t="str">
        <f>"20228012122"</f>
        <v>20228012122</v>
      </c>
      <c r="B625" s="4" t="str">
        <f t="shared" si="9"/>
        <v>20220302</v>
      </c>
      <c r="C625" s="5">
        <v>86.3</v>
      </c>
      <c r="D625" s="5">
        <v>86.9</v>
      </c>
      <c r="E625" s="5">
        <v>86.66</v>
      </c>
    </row>
    <row r="626" spans="1:5">
      <c r="A626" s="4" t="str">
        <f>"20228012123"</f>
        <v>20228012123</v>
      </c>
      <c r="B626" s="4" t="str">
        <f t="shared" si="9"/>
        <v>20220302</v>
      </c>
      <c r="C626" s="5">
        <v>0</v>
      </c>
      <c r="D626" s="5">
        <v>0</v>
      </c>
      <c r="E626" s="5">
        <v>0</v>
      </c>
    </row>
    <row r="627" spans="1:5">
      <c r="A627" s="4" t="str">
        <f>"20228012124"</f>
        <v>20228012124</v>
      </c>
      <c r="B627" s="4" t="str">
        <f t="shared" si="9"/>
        <v>20220302</v>
      </c>
      <c r="C627" s="5">
        <v>85.4</v>
      </c>
      <c r="D627" s="5">
        <v>64.4</v>
      </c>
      <c r="E627" s="5">
        <v>72.8</v>
      </c>
    </row>
    <row r="628" spans="1:5">
      <c r="A628" s="4" t="str">
        <f>"20228012125"</f>
        <v>20228012125</v>
      </c>
      <c r="B628" s="4" t="str">
        <f t="shared" ref="B628:B691" si="10">"20220302"</f>
        <v>20220302</v>
      </c>
      <c r="C628" s="5">
        <v>85.3</v>
      </c>
      <c r="D628" s="5">
        <v>85.5</v>
      </c>
      <c r="E628" s="5">
        <v>85.42</v>
      </c>
    </row>
    <row r="629" spans="1:5">
      <c r="A629" s="4" t="str">
        <f>"20228012126"</f>
        <v>20228012126</v>
      </c>
      <c r="B629" s="4" t="str">
        <f t="shared" si="10"/>
        <v>20220302</v>
      </c>
      <c r="C629" s="5">
        <v>96.9</v>
      </c>
      <c r="D629" s="5">
        <v>83.7</v>
      </c>
      <c r="E629" s="5">
        <v>88.98</v>
      </c>
    </row>
    <row r="630" spans="1:5">
      <c r="A630" s="4" t="str">
        <f>"20228012127"</f>
        <v>20228012127</v>
      </c>
      <c r="B630" s="4" t="str">
        <f t="shared" si="10"/>
        <v>20220302</v>
      </c>
      <c r="C630" s="5">
        <v>0</v>
      </c>
      <c r="D630" s="5">
        <v>0</v>
      </c>
      <c r="E630" s="5">
        <v>0</v>
      </c>
    </row>
    <row r="631" spans="1:5">
      <c r="A631" s="4" t="str">
        <f>"20228012128"</f>
        <v>20228012128</v>
      </c>
      <c r="B631" s="4" t="str">
        <f t="shared" si="10"/>
        <v>20220302</v>
      </c>
      <c r="C631" s="5">
        <v>0</v>
      </c>
      <c r="D631" s="5">
        <v>0</v>
      </c>
      <c r="E631" s="5">
        <v>0</v>
      </c>
    </row>
    <row r="632" spans="1:5">
      <c r="A632" s="4" t="str">
        <f>"20228012129"</f>
        <v>20228012129</v>
      </c>
      <c r="B632" s="4" t="str">
        <f t="shared" si="10"/>
        <v>20220302</v>
      </c>
      <c r="C632" s="5">
        <v>101</v>
      </c>
      <c r="D632" s="5">
        <v>94.5</v>
      </c>
      <c r="E632" s="5">
        <v>97.1</v>
      </c>
    </row>
    <row r="633" spans="1:5">
      <c r="A633" s="4" t="str">
        <f>"20228012130"</f>
        <v>20228012130</v>
      </c>
      <c r="B633" s="4" t="str">
        <f t="shared" si="10"/>
        <v>20220302</v>
      </c>
      <c r="C633" s="5">
        <v>0</v>
      </c>
      <c r="D633" s="5">
        <v>0</v>
      </c>
      <c r="E633" s="5">
        <v>0</v>
      </c>
    </row>
    <row r="634" spans="1:5">
      <c r="A634" s="4" t="str">
        <f>"20228012201"</f>
        <v>20228012201</v>
      </c>
      <c r="B634" s="4" t="str">
        <f t="shared" si="10"/>
        <v>20220302</v>
      </c>
      <c r="C634" s="5">
        <v>99.2</v>
      </c>
      <c r="D634" s="5">
        <v>86.4</v>
      </c>
      <c r="E634" s="5">
        <v>91.52</v>
      </c>
    </row>
    <row r="635" spans="1:5">
      <c r="A635" s="4" t="str">
        <f>"20228012202"</f>
        <v>20228012202</v>
      </c>
      <c r="B635" s="4" t="str">
        <f t="shared" si="10"/>
        <v>20220302</v>
      </c>
      <c r="C635" s="5">
        <v>96.4</v>
      </c>
      <c r="D635" s="5">
        <v>89.1</v>
      </c>
      <c r="E635" s="5">
        <v>92.02</v>
      </c>
    </row>
    <row r="636" spans="1:5">
      <c r="A636" s="4" t="str">
        <f>"20228012203"</f>
        <v>20228012203</v>
      </c>
      <c r="B636" s="4" t="str">
        <f t="shared" si="10"/>
        <v>20220302</v>
      </c>
      <c r="C636" s="5">
        <v>94.6</v>
      </c>
      <c r="D636" s="5">
        <v>89.9</v>
      </c>
      <c r="E636" s="5">
        <v>91.78</v>
      </c>
    </row>
    <row r="637" spans="1:5">
      <c r="A637" s="4" t="str">
        <f>"20228012204"</f>
        <v>20228012204</v>
      </c>
      <c r="B637" s="4" t="str">
        <f t="shared" si="10"/>
        <v>20220302</v>
      </c>
      <c r="C637" s="5">
        <v>0</v>
      </c>
      <c r="D637" s="5">
        <v>0</v>
      </c>
      <c r="E637" s="5">
        <v>0</v>
      </c>
    </row>
    <row r="638" spans="1:5">
      <c r="A638" s="4" t="str">
        <f>"20228012205"</f>
        <v>20228012205</v>
      </c>
      <c r="B638" s="4" t="str">
        <f t="shared" si="10"/>
        <v>20220302</v>
      </c>
      <c r="C638" s="5">
        <v>89.4</v>
      </c>
      <c r="D638" s="5">
        <v>86.6</v>
      </c>
      <c r="E638" s="5">
        <v>87.72</v>
      </c>
    </row>
    <row r="639" spans="1:5">
      <c r="A639" s="4" t="str">
        <f>"20228012206"</f>
        <v>20228012206</v>
      </c>
      <c r="B639" s="4" t="str">
        <f t="shared" si="10"/>
        <v>20220302</v>
      </c>
      <c r="C639" s="5">
        <v>72.6</v>
      </c>
      <c r="D639" s="5">
        <v>81.8</v>
      </c>
      <c r="E639" s="5">
        <v>78.12</v>
      </c>
    </row>
    <row r="640" spans="1:5">
      <c r="A640" s="4" t="str">
        <f>"20228012207"</f>
        <v>20228012207</v>
      </c>
      <c r="B640" s="4" t="str">
        <f t="shared" si="10"/>
        <v>20220302</v>
      </c>
      <c r="C640" s="5">
        <v>88.8</v>
      </c>
      <c r="D640" s="5">
        <v>80</v>
      </c>
      <c r="E640" s="5">
        <v>83.52</v>
      </c>
    </row>
    <row r="641" spans="1:5">
      <c r="A641" s="4" t="str">
        <f>"20228012208"</f>
        <v>20228012208</v>
      </c>
      <c r="B641" s="4" t="str">
        <f t="shared" si="10"/>
        <v>20220302</v>
      </c>
      <c r="C641" s="5">
        <v>0</v>
      </c>
      <c r="D641" s="5">
        <v>0</v>
      </c>
      <c r="E641" s="5">
        <v>0</v>
      </c>
    </row>
    <row r="642" spans="1:5">
      <c r="A642" s="4" t="str">
        <f>"20228012209"</f>
        <v>20228012209</v>
      </c>
      <c r="B642" s="4" t="str">
        <f t="shared" si="10"/>
        <v>20220302</v>
      </c>
      <c r="C642" s="5">
        <v>0</v>
      </c>
      <c r="D642" s="5">
        <v>0</v>
      </c>
      <c r="E642" s="5">
        <v>0</v>
      </c>
    </row>
    <row r="643" spans="1:5">
      <c r="A643" s="4" t="str">
        <f>"20228012210"</f>
        <v>20228012210</v>
      </c>
      <c r="B643" s="4" t="str">
        <f t="shared" si="10"/>
        <v>20220302</v>
      </c>
      <c r="C643" s="5">
        <v>91.9</v>
      </c>
      <c r="D643" s="5">
        <v>79.5</v>
      </c>
      <c r="E643" s="5">
        <v>84.46</v>
      </c>
    </row>
    <row r="644" spans="1:5">
      <c r="A644" s="4" t="str">
        <f>"20228012211"</f>
        <v>20228012211</v>
      </c>
      <c r="B644" s="4" t="str">
        <f t="shared" si="10"/>
        <v>20220302</v>
      </c>
      <c r="C644" s="5">
        <v>84.1</v>
      </c>
      <c r="D644" s="5">
        <v>91.3</v>
      </c>
      <c r="E644" s="5">
        <v>88.42</v>
      </c>
    </row>
    <row r="645" spans="1:5">
      <c r="A645" s="4" t="str">
        <f>"20228012212"</f>
        <v>20228012212</v>
      </c>
      <c r="B645" s="4" t="str">
        <f t="shared" si="10"/>
        <v>20220302</v>
      </c>
      <c r="C645" s="5">
        <v>0</v>
      </c>
      <c r="D645" s="5">
        <v>0</v>
      </c>
      <c r="E645" s="5">
        <v>0</v>
      </c>
    </row>
    <row r="646" spans="1:5">
      <c r="A646" s="4" t="str">
        <f>"20228012213"</f>
        <v>20228012213</v>
      </c>
      <c r="B646" s="4" t="str">
        <f t="shared" si="10"/>
        <v>20220302</v>
      </c>
      <c r="C646" s="5">
        <v>91.2</v>
      </c>
      <c r="D646" s="5">
        <v>90.9</v>
      </c>
      <c r="E646" s="5">
        <v>91.02</v>
      </c>
    </row>
    <row r="647" spans="1:5">
      <c r="A647" s="4" t="str">
        <f>"20228012214"</f>
        <v>20228012214</v>
      </c>
      <c r="B647" s="4" t="str">
        <f t="shared" si="10"/>
        <v>20220302</v>
      </c>
      <c r="C647" s="5">
        <v>0</v>
      </c>
      <c r="D647" s="5">
        <v>0</v>
      </c>
      <c r="E647" s="5">
        <v>0</v>
      </c>
    </row>
    <row r="648" spans="1:5">
      <c r="A648" s="4" t="str">
        <f>"20228012215"</f>
        <v>20228012215</v>
      </c>
      <c r="B648" s="4" t="str">
        <f t="shared" si="10"/>
        <v>20220302</v>
      </c>
      <c r="C648" s="5">
        <v>0</v>
      </c>
      <c r="D648" s="5">
        <v>0</v>
      </c>
      <c r="E648" s="5">
        <v>0</v>
      </c>
    </row>
    <row r="649" spans="1:5">
      <c r="A649" s="4" t="str">
        <f>"20228012216"</f>
        <v>20228012216</v>
      </c>
      <c r="B649" s="4" t="str">
        <f t="shared" si="10"/>
        <v>20220302</v>
      </c>
      <c r="C649" s="5">
        <v>89</v>
      </c>
      <c r="D649" s="5">
        <v>85.3</v>
      </c>
      <c r="E649" s="5">
        <v>86.78</v>
      </c>
    </row>
    <row r="650" spans="1:5">
      <c r="A650" s="4" t="str">
        <f>"20228012217"</f>
        <v>20228012217</v>
      </c>
      <c r="B650" s="4" t="str">
        <f t="shared" si="10"/>
        <v>20220302</v>
      </c>
      <c r="C650" s="5">
        <v>0</v>
      </c>
      <c r="D650" s="5">
        <v>0</v>
      </c>
      <c r="E650" s="5">
        <v>0</v>
      </c>
    </row>
    <row r="651" spans="1:5">
      <c r="A651" s="4" t="str">
        <f>"20228012218"</f>
        <v>20228012218</v>
      </c>
      <c r="B651" s="4" t="str">
        <f t="shared" si="10"/>
        <v>20220302</v>
      </c>
      <c r="C651" s="5">
        <v>0</v>
      </c>
      <c r="D651" s="5">
        <v>0</v>
      </c>
      <c r="E651" s="5">
        <v>0</v>
      </c>
    </row>
    <row r="652" spans="1:5">
      <c r="A652" s="4" t="str">
        <f>"20228012219"</f>
        <v>20228012219</v>
      </c>
      <c r="B652" s="4" t="str">
        <f t="shared" si="10"/>
        <v>20220302</v>
      </c>
      <c r="C652" s="5">
        <v>91.7</v>
      </c>
      <c r="D652" s="5">
        <v>90.9</v>
      </c>
      <c r="E652" s="5">
        <v>91.22</v>
      </c>
    </row>
    <row r="653" spans="1:5">
      <c r="A653" s="4" t="str">
        <f>"20228012220"</f>
        <v>20228012220</v>
      </c>
      <c r="B653" s="4" t="str">
        <f t="shared" si="10"/>
        <v>20220302</v>
      </c>
      <c r="C653" s="5">
        <v>77.3</v>
      </c>
      <c r="D653" s="5">
        <v>78.1</v>
      </c>
      <c r="E653" s="5">
        <v>77.78</v>
      </c>
    </row>
    <row r="654" spans="1:5">
      <c r="A654" s="4" t="str">
        <f>"20228012221"</f>
        <v>20228012221</v>
      </c>
      <c r="B654" s="4" t="str">
        <f t="shared" si="10"/>
        <v>20220302</v>
      </c>
      <c r="C654" s="5">
        <v>0</v>
      </c>
      <c r="D654" s="5">
        <v>0</v>
      </c>
      <c r="E654" s="5">
        <v>0</v>
      </c>
    </row>
    <row r="655" spans="1:5">
      <c r="A655" s="4" t="str">
        <f>"20228012222"</f>
        <v>20228012222</v>
      </c>
      <c r="B655" s="4" t="str">
        <f t="shared" si="10"/>
        <v>20220302</v>
      </c>
      <c r="C655" s="5">
        <v>0</v>
      </c>
      <c r="D655" s="5">
        <v>0</v>
      </c>
      <c r="E655" s="5">
        <v>0</v>
      </c>
    </row>
    <row r="656" spans="1:5">
      <c r="A656" s="4" t="str">
        <f>"20228012223"</f>
        <v>20228012223</v>
      </c>
      <c r="B656" s="4" t="str">
        <f t="shared" si="10"/>
        <v>20220302</v>
      </c>
      <c r="C656" s="5">
        <v>0</v>
      </c>
      <c r="D656" s="5">
        <v>0</v>
      </c>
      <c r="E656" s="5">
        <v>0</v>
      </c>
    </row>
    <row r="657" spans="1:5">
      <c r="A657" s="4" t="str">
        <f>"20228012224"</f>
        <v>20228012224</v>
      </c>
      <c r="B657" s="4" t="str">
        <f t="shared" si="10"/>
        <v>20220302</v>
      </c>
      <c r="C657" s="5">
        <v>0</v>
      </c>
      <c r="D657" s="5">
        <v>0</v>
      </c>
      <c r="E657" s="5">
        <v>0</v>
      </c>
    </row>
    <row r="658" spans="1:5">
      <c r="A658" s="4" t="str">
        <f>"20228012225"</f>
        <v>20228012225</v>
      </c>
      <c r="B658" s="4" t="str">
        <f t="shared" si="10"/>
        <v>20220302</v>
      </c>
      <c r="C658" s="5">
        <v>80.4</v>
      </c>
      <c r="D658" s="5">
        <v>87.8</v>
      </c>
      <c r="E658" s="5">
        <v>84.84</v>
      </c>
    </row>
    <row r="659" spans="1:5">
      <c r="A659" s="4" t="str">
        <f>"20228012226"</f>
        <v>20228012226</v>
      </c>
      <c r="B659" s="4" t="str">
        <f t="shared" si="10"/>
        <v>20220302</v>
      </c>
      <c r="C659" s="5">
        <v>0</v>
      </c>
      <c r="D659" s="5">
        <v>0</v>
      </c>
      <c r="E659" s="5">
        <v>0</v>
      </c>
    </row>
    <row r="660" spans="1:5">
      <c r="A660" s="4" t="str">
        <f>"20228012227"</f>
        <v>20228012227</v>
      </c>
      <c r="B660" s="4" t="str">
        <f t="shared" si="10"/>
        <v>20220302</v>
      </c>
      <c r="C660" s="5">
        <v>92.3</v>
      </c>
      <c r="D660" s="5">
        <v>96.6</v>
      </c>
      <c r="E660" s="5">
        <v>94.88</v>
      </c>
    </row>
    <row r="661" spans="1:5">
      <c r="A661" s="4" t="str">
        <f>"20228012228"</f>
        <v>20228012228</v>
      </c>
      <c r="B661" s="4" t="str">
        <f t="shared" si="10"/>
        <v>20220302</v>
      </c>
      <c r="C661" s="5">
        <v>86.4</v>
      </c>
      <c r="D661" s="5">
        <v>91.8</v>
      </c>
      <c r="E661" s="5">
        <v>89.64</v>
      </c>
    </row>
    <row r="662" spans="1:5">
      <c r="A662" s="4" t="str">
        <f>"20228012229"</f>
        <v>20228012229</v>
      </c>
      <c r="B662" s="4" t="str">
        <f t="shared" si="10"/>
        <v>20220302</v>
      </c>
      <c r="C662" s="5">
        <v>95.3</v>
      </c>
      <c r="D662" s="5">
        <v>85</v>
      </c>
      <c r="E662" s="5">
        <v>89.12</v>
      </c>
    </row>
    <row r="663" spans="1:5">
      <c r="A663" s="4" t="str">
        <f>"20228012230"</f>
        <v>20228012230</v>
      </c>
      <c r="B663" s="4" t="str">
        <f t="shared" si="10"/>
        <v>20220302</v>
      </c>
      <c r="C663" s="5">
        <v>0</v>
      </c>
      <c r="D663" s="5">
        <v>0</v>
      </c>
      <c r="E663" s="5">
        <v>0</v>
      </c>
    </row>
    <row r="664" spans="1:5">
      <c r="A664" s="4" t="str">
        <f>"20228012301"</f>
        <v>20228012301</v>
      </c>
      <c r="B664" s="4" t="str">
        <f t="shared" si="10"/>
        <v>20220302</v>
      </c>
      <c r="C664" s="5">
        <v>0</v>
      </c>
      <c r="D664" s="5">
        <v>0</v>
      </c>
      <c r="E664" s="5">
        <v>0</v>
      </c>
    </row>
    <row r="665" spans="1:5">
      <c r="A665" s="4" t="str">
        <f>"20228012302"</f>
        <v>20228012302</v>
      </c>
      <c r="B665" s="4" t="str">
        <f t="shared" si="10"/>
        <v>20220302</v>
      </c>
      <c r="C665" s="5">
        <v>90.7</v>
      </c>
      <c r="D665" s="5">
        <v>83.7</v>
      </c>
      <c r="E665" s="5">
        <v>86.5</v>
      </c>
    </row>
    <row r="666" spans="1:5">
      <c r="A666" s="4" t="str">
        <f>"20228012303"</f>
        <v>20228012303</v>
      </c>
      <c r="B666" s="4" t="str">
        <f t="shared" si="10"/>
        <v>20220302</v>
      </c>
      <c r="C666" s="5">
        <v>69.2</v>
      </c>
      <c r="D666" s="5">
        <v>80</v>
      </c>
      <c r="E666" s="5">
        <v>75.68</v>
      </c>
    </row>
    <row r="667" spans="1:5">
      <c r="A667" s="4" t="str">
        <f>"20228012304"</f>
        <v>20228012304</v>
      </c>
      <c r="B667" s="4" t="str">
        <f t="shared" si="10"/>
        <v>20220302</v>
      </c>
      <c r="C667" s="5">
        <v>93.5</v>
      </c>
      <c r="D667" s="5">
        <v>66.6</v>
      </c>
      <c r="E667" s="5">
        <v>77.36</v>
      </c>
    </row>
    <row r="668" spans="1:5">
      <c r="A668" s="4" t="str">
        <f>"20228012305"</f>
        <v>20228012305</v>
      </c>
      <c r="B668" s="4" t="str">
        <f t="shared" si="10"/>
        <v>20220302</v>
      </c>
      <c r="C668" s="5">
        <v>0</v>
      </c>
      <c r="D668" s="5">
        <v>0</v>
      </c>
      <c r="E668" s="5">
        <v>0</v>
      </c>
    </row>
    <row r="669" spans="1:5">
      <c r="A669" s="4" t="str">
        <f>"20228012306"</f>
        <v>20228012306</v>
      </c>
      <c r="B669" s="4" t="str">
        <f t="shared" si="10"/>
        <v>20220302</v>
      </c>
      <c r="C669" s="5">
        <v>0</v>
      </c>
      <c r="D669" s="5">
        <v>0</v>
      </c>
      <c r="E669" s="5">
        <v>0</v>
      </c>
    </row>
    <row r="670" spans="1:5">
      <c r="A670" s="4" t="str">
        <f>"20228012307"</f>
        <v>20228012307</v>
      </c>
      <c r="B670" s="4" t="str">
        <f t="shared" si="10"/>
        <v>20220302</v>
      </c>
      <c r="C670" s="5">
        <v>0</v>
      </c>
      <c r="D670" s="5">
        <v>0</v>
      </c>
      <c r="E670" s="5">
        <v>0</v>
      </c>
    </row>
    <row r="671" spans="1:5">
      <c r="A671" s="4" t="str">
        <f>"20228012308"</f>
        <v>20228012308</v>
      </c>
      <c r="B671" s="4" t="str">
        <f t="shared" si="10"/>
        <v>20220302</v>
      </c>
      <c r="C671" s="5">
        <v>93.8</v>
      </c>
      <c r="D671" s="5">
        <v>86.7</v>
      </c>
      <c r="E671" s="5">
        <v>89.54</v>
      </c>
    </row>
    <row r="672" spans="1:5">
      <c r="A672" s="4" t="str">
        <f>"20228012309"</f>
        <v>20228012309</v>
      </c>
      <c r="B672" s="4" t="str">
        <f t="shared" si="10"/>
        <v>20220302</v>
      </c>
      <c r="C672" s="5">
        <v>0</v>
      </c>
      <c r="D672" s="5">
        <v>0</v>
      </c>
      <c r="E672" s="5">
        <v>0</v>
      </c>
    </row>
    <row r="673" spans="1:5">
      <c r="A673" s="4" t="str">
        <f>"20228012310"</f>
        <v>20228012310</v>
      </c>
      <c r="B673" s="4" t="str">
        <f t="shared" si="10"/>
        <v>20220302</v>
      </c>
      <c r="C673" s="5">
        <v>0</v>
      </c>
      <c r="D673" s="5">
        <v>0</v>
      </c>
      <c r="E673" s="5">
        <v>0</v>
      </c>
    </row>
    <row r="674" spans="1:5">
      <c r="A674" s="4" t="str">
        <f>"20228012311"</f>
        <v>20228012311</v>
      </c>
      <c r="B674" s="4" t="str">
        <f t="shared" si="10"/>
        <v>20220302</v>
      </c>
      <c r="C674" s="5">
        <v>0</v>
      </c>
      <c r="D674" s="5">
        <v>0</v>
      </c>
      <c r="E674" s="5">
        <v>0</v>
      </c>
    </row>
    <row r="675" spans="1:5">
      <c r="A675" s="4" t="str">
        <f>"20228012312"</f>
        <v>20228012312</v>
      </c>
      <c r="B675" s="4" t="str">
        <f t="shared" si="10"/>
        <v>20220302</v>
      </c>
      <c r="C675" s="5">
        <v>0</v>
      </c>
      <c r="D675" s="5">
        <v>0</v>
      </c>
      <c r="E675" s="5">
        <v>0</v>
      </c>
    </row>
    <row r="676" spans="1:5">
      <c r="A676" s="4" t="str">
        <f>"20228012313"</f>
        <v>20228012313</v>
      </c>
      <c r="B676" s="4" t="str">
        <f t="shared" si="10"/>
        <v>20220302</v>
      </c>
      <c r="C676" s="5">
        <v>0</v>
      </c>
      <c r="D676" s="5">
        <v>0</v>
      </c>
      <c r="E676" s="5">
        <v>0</v>
      </c>
    </row>
    <row r="677" spans="1:5">
      <c r="A677" s="4" t="str">
        <f>"20228012314"</f>
        <v>20228012314</v>
      </c>
      <c r="B677" s="4" t="str">
        <f t="shared" si="10"/>
        <v>20220302</v>
      </c>
      <c r="C677" s="5">
        <v>0</v>
      </c>
      <c r="D677" s="5">
        <v>0</v>
      </c>
      <c r="E677" s="5">
        <v>0</v>
      </c>
    </row>
    <row r="678" spans="1:5">
      <c r="A678" s="4" t="str">
        <f>"20228012315"</f>
        <v>20228012315</v>
      </c>
      <c r="B678" s="4" t="str">
        <f t="shared" si="10"/>
        <v>20220302</v>
      </c>
      <c r="C678" s="5">
        <v>97.1</v>
      </c>
      <c r="D678" s="5">
        <v>86.7</v>
      </c>
      <c r="E678" s="5">
        <v>90.86</v>
      </c>
    </row>
    <row r="679" spans="1:5">
      <c r="A679" s="4" t="str">
        <f>"20228012316"</f>
        <v>20228012316</v>
      </c>
      <c r="B679" s="4" t="str">
        <f t="shared" si="10"/>
        <v>20220302</v>
      </c>
      <c r="C679" s="5">
        <v>85.1</v>
      </c>
      <c r="D679" s="5">
        <v>89.9</v>
      </c>
      <c r="E679" s="5">
        <v>87.98</v>
      </c>
    </row>
    <row r="680" spans="1:5">
      <c r="A680" s="4" t="str">
        <f>"20228012317"</f>
        <v>20228012317</v>
      </c>
      <c r="B680" s="4" t="str">
        <f t="shared" si="10"/>
        <v>20220302</v>
      </c>
      <c r="C680" s="5">
        <v>78.7</v>
      </c>
      <c r="D680" s="5">
        <v>83.7</v>
      </c>
      <c r="E680" s="5">
        <v>81.7</v>
      </c>
    </row>
    <row r="681" spans="1:5">
      <c r="A681" s="4" t="str">
        <f>"20228012318"</f>
        <v>20228012318</v>
      </c>
      <c r="B681" s="4" t="str">
        <f t="shared" si="10"/>
        <v>20220302</v>
      </c>
      <c r="C681" s="5">
        <v>100.5</v>
      </c>
      <c r="D681" s="5">
        <v>87.6</v>
      </c>
      <c r="E681" s="5">
        <v>92.76</v>
      </c>
    </row>
    <row r="682" spans="1:5">
      <c r="A682" s="4" t="str">
        <f>"20228012319"</f>
        <v>20228012319</v>
      </c>
      <c r="B682" s="4" t="str">
        <f t="shared" si="10"/>
        <v>20220302</v>
      </c>
      <c r="C682" s="5">
        <v>0</v>
      </c>
      <c r="D682" s="5">
        <v>0</v>
      </c>
      <c r="E682" s="5">
        <v>0</v>
      </c>
    </row>
    <row r="683" spans="1:5">
      <c r="A683" s="4" t="str">
        <f>"20228012320"</f>
        <v>20228012320</v>
      </c>
      <c r="B683" s="4" t="str">
        <f t="shared" si="10"/>
        <v>20220302</v>
      </c>
      <c r="C683" s="5">
        <v>94.7</v>
      </c>
      <c r="D683" s="5">
        <v>79.3</v>
      </c>
      <c r="E683" s="5">
        <v>85.46</v>
      </c>
    </row>
    <row r="684" spans="1:5">
      <c r="A684" s="4" t="str">
        <f>"20228012321"</f>
        <v>20228012321</v>
      </c>
      <c r="B684" s="4" t="str">
        <f t="shared" si="10"/>
        <v>20220302</v>
      </c>
      <c r="C684" s="5">
        <v>100.4</v>
      </c>
      <c r="D684" s="5">
        <v>80.7</v>
      </c>
      <c r="E684" s="5">
        <v>88.58</v>
      </c>
    </row>
    <row r="685" spans="1:5">
      <c r="A685" s="4" t="str">
        <f>"20228012322"</f>
        <v>20228012322</v>
      </c>
      <c r="B685" s="4" t="str">
        <f t="shared" si="10"/>
        <v>20220302</v>
      </c>
      <c r="C685" s="5">
        <v>82.2</v>
      </c>
      <c r="D685" s="5">
        <v>85.5</v>
      </c>
      <c r="E685" s="5">
        <v>84.18</v>
      </c>
    </row>
    <row r="686" spans="1:5">
      <c r="A686" s="4" t="str">
        <f>"20228012323"</f>
        <v>20228012323</v>
      </c>
      <c r="B686" s="4" t="str">
        <f t="shared" si="10"/>
        <v>20220302</v>
      </c>
      <c r="C686" s="5">
        <v>91</v>
      </c>
      <c r="D686" s="5">
        <v>90.4</v>
      </c>
      <c r="E686" s="5">
        <v>90.64</v>
      </c>
    </row>
    <row r="687" spans="1:5">
      <c r="A687" s="4" t="str">
        <f>"20228012324"</f>
        <v>20228012324</v>
      </c>
      <c r="B687" s="4" t="str">
        <f t="shared" si="10"/>
        <v>20220302</v>
      </c>
      <c r="C687" s="5">
        <v>93</v>
      </c>
      <c r="D687" s="5">
        <v>83.6</v>
      </c>
      <c r="E687" s="5">
        <v>87.36</v>
      </c>
    </row>
    <row r="688" spans="1:5">
      <c r="A688" s="4" t="str">
        <f>"20228012325"</f>
        <v>20228012325</v>
      </c>
      <c r="B688" s="4" t="str">
        <f t="shared" si="10"/>
        <v>20220302</v>
      </c>
      <c r="C688" s="5">
        <v>102.7</v>
      </c>
      <c r="D688" s="5">
        <v>91.7</v>
      </c>
      <c r="E688" s="5">
        <v>96.1</v>
      </c>
    </row>
    <row r="689" spans="1:5">
      <c r="A689" s="4" t="str">
        <f>"20228012326"</f>
        <v>20228012326</v>
      </c>
      <c r="B689" s="4" t="str">
        <f t="shared" si="10"/>
        <v>20220302</v>
      </c>
      <c r="C689" s="5">
        <v>79.7</v>
      </c>
      <c r="D689" s="5">
        <v>78.9</v>
      </c>
      <c r="E689" s="5">
        <v>79.22</v>
      </c>
    </row>
    <row r="690" spans="1:5">
      <c r="A690" s="4" t="str">
        <f>"20228012327"</f>
        <v>20228012327</v>
      </c>
      <c r="B690" s="4" t="str">
        <f t="shared" si="10"/>
        <v>20220302</v>
      </c>
      <c r="C690" s="5">
        <v>96.3</v>
      </c>
      <c r="D690" s="5">
        <v>87</v>
      </c>
      <c r="E690" s="5">
        <v>90.72</v>
      </c>
    </row>
    <row r="691" spans="1:5">
      <c r="A691" s="4" t="str">
        <f>"20228012328"</f>
        <v>20228012328</v>
      </c>
      <c r="B691" s="4" t="str">
        <f t="shared" si="10"/>
        <v>20220302</v>
      </c>
      <c r="C691" s="5">
        <v>85.2</v>
      </c>
      <c r="D691" s="5">
        <v>82.5</v>
      </c>
      <c r="E691" s="5">
        <v>83.58</v>
      </c>
    </row>
    <row r="692" spans="1:5">
      <c r="A692" s="4" t="str">
        <f>"20228012329"</f>
        <v>20228012329</v>
      </c>
      <c r="B692" s="4" t="str">
        <f t="shared" ref="B692:B755" si="11">"20220302"</f>
        <v>20220302</v>
      </c>
      <c r="C692" s="5">
        <v>0</v>
      </c>
      <c r="D692" s="5">
        <v>0</v>
      </c>
      <c r="E692" s="5">
        <v>0</v>
      </c>
    </row>
    <row r="693" spans="1:5">
      <c r="A693" s="4" t="str">
        <f>"20228012330"</f>
        <v>20228012330</v>
      </c>
      <c r="B693" s="4" t="str">
        <f t="shared" si="11"/>
        <v>20220302</v>
      </c>
      <c r="C693" s="5">
        <v>83.6</v>
      </c>
      <c r="D693" s="5">
        <v>87.5</v>
      </c>
      <c r="E693" s="5">
        <v>85.94</v>
      </c>
    </row>
    <row r="694" spans="1:5">
      <c r="A694" s="4" t="str">
        <f>"20228012401"</f>
        <v>20228012401</v>
      </c>
      <c r="B694" s="4" t="str">
        <f t="shared" si="11"/>
        <v>20220302</v>
      </c>
      <c r="C694" s="5">
        <v>94.2</v>
      </c>
      <c r="D694" s="5">
        <v>84.3</v>
      </c>
      <c r="E694" s="5">
        <v>88.26</v>
      </c>
    </row>
    <row r="695" spans="1:5">
      <c r="A695" s="4" t="str">
        <f>"20228012402"</f>
        <v>20228012402</v>
      </c>
      <c r="B695" s="4" t="str">
        <f t="shared" si="11"/>
        <v>20220302</v>
      </c>
      <c r="C695" s="5">
        <v>0</v>
      </c>
      <c r="D695" s="5">
        <v>0</v>
      </c>
      <c r="E695" s="5">
        <v>0</v>
      </c>
    </row>
    <row r="696" spans="1:5">
      <c r="A696" s="4" t="str">
        <f>"20228012403"</f>
        <v>20228012403</v>
      </c>
      <c r="B696" s="4" t="str">
        <f t="shared" si="11"/>
        <v>20220302</v>
      </c>
      <c r="C696" s="5">
        <v>96.3</v>
      </c>
      <c r="D696" s="5">
        <v>84.5</v>
      </c>
      <c r="E696" s="5">
        <v>89.22</v>
      </c>
    </row>
    <row r="697" spans="1:5">
      <c r="A697" s="4" t="str">
        <f>"20228012404"</f>
        <v>20228012404</v>
      </c>
      <c r="B697" s="4" t="str">
        <f t="shared" si="11"/>
        <v>20220302</v>
      </c>
      <c r="C697" s="5">
        <v>91.7</v>
      </c>
      <c r="D697" s="5">
        <v>80.2</v>
      </c>
      <c r="E697" s="5">
        <v>84.8</v>
      </c>
    </row>
    <row r="698" spans="1:5">
      <c r="A698" s="4" t="str">
        <f>"20228012405"</f>
        <v>20228012405</v>
      </c>
      <c r="B698" s="4" t="str">
        <f t="shared" si="11"/>
        <v>20220302</v>
      </c>
      <c r="C698" s="5">
        <v>99</v>
      </c>
      <c r="D698" s="5">
        <v>75</v>
      </c>
      <c r="E698" s="5">
        <v>84.6</v>
      </c>
    </row>
    <row r="699" spans="1:5">
      <c r="A699" s="4" t="str">
        <f>"20228012406"</f>
        <v>20228012406</v>
      </c>
      <c r="B699" s="4" t="str">
        <f t="shared" si="11"/>
        <v>20220302</v>
      </c>
      <c r="C699" s="5">
        <v>94.6</v>
      </c>
      <c r="D699" s="5">
        <v>85.9</v>
      </c>
      <c r="E699" s="5">
        <v>89.38</v>
      </c>
    </row>
    <row r="700" spans="1:5">
      <c r="A700" s="4" t="str">
        <f>"20228012407"</f>
        <v>20228012407</v>
      </c>
      <c r="B700" s="4" t="str">
        <f t="shared" si="11"/>
        <v>20220302</v>
      </c>
      <c r="C700" s="5">
        <v>80.6</v>
      </c>
      <c r="D700" s="5">
        <v>86.4</v>
      </c>
      <c r="E700" s="5">
        <v>84.08</v>
      </c>
    </row>
    <row r="701" spans="1:5">
      <c r="A701" s="4" t="str">
        <f>"20228012408"</f>
        <v>20228012408</v>
      </c>
      <c r="B701" s="4" t="str">
        <f t="shared" si="11"/>
        <v>20220302</v>
      </c>
      <c r="C701" s="5">
        <v>0</v>
      </c>
      <c r="D701" s="5">
        <v>82</v>
      </c>
      <c r="E701" s="5">
        <v>49.2</v>
      </c>
    </row>
    <row r="702" spans="1:5">
      <c r="A702" s="4" t="str">
        <f>"20228012409"</f>
        <v>20228012409</v>
      </c>
      <c r="B702" s="4" t="str">
        <f t="shared" si="11"/>
        <v>20220302</v>
      </c>
      <c r="C702" s="5">
        <v>78.7</v>
      </c>
      <c r="D702" s="5">
        <v>73.9</v>
      </c>
      <c r="E702" s="5">
        <v>75.82</v>
      </c>
    </row>
    <row r="703" spans="1:5">
      <c r="A703" s="4" t="str">
        <f>"20228012410"</f>
        <v>20228012410</v>
      </c>
      <c r="B703" s="4" t="str">
        <f t="shared" si="11"/>
        <v>20220302</v>
      </c>
      <c r="C703" s="5">
        <v>91.7</v>
      </c>
      <c r="D703" s="5">
        <v>90.9</v>
      </c>
      <c r="E703" s="5">
        <v>91.22</v>
      </c>
    </row>
    <row r="704" spans="1:5">
      <c r="A704" s="4" t="str">
        <f>"20228012411"</f>
        <v>20228012411</v>
      </c>
      <c r="B704" s="4" t="str">
        <f t="shared" si="11"/>
        <v>20220302</v>
      </c>
      <c r="C704" s="5">
        <v>0</v>
      </c>
      <c r="D704" s="5">
        <v>0</v>
      </c>
      <c r="E704" s="5">
        <v>0</v>
      </c>
    </row>
    <row r="705" spans="1:5">
      <c r="A705" s="4" t="str">
        <f>"20228012412"</f>
        <v>20228012412</v>
      </c>
      <c r="B705" s="4" t="str">
        <f t="shared" si="11"/>
        <v>20220302</v>
      </c>
      <c r="C705" s="5">
        <v>95.5</v>
      </c>
      <c r="D705" s="5">
        <v>85.9</v>
      </c>
      <c r="E705" s="5">
        <v>89.74</v>
      </c>
    </row>
    <row r="706" spans="1:5">
      <c r="A706" s="4" t="str">
        <f>"20228012413"</f>
        <v>20228012413</v>
      </c>
      <c r="B706" s="4" t="str">
        <f t="shared" si="11"/>
        <v>20220302</v>
      </c>
      <c r="C706" s="5">
        <v>0</v>
      </c>
      <c r="D706" s="5">
        <v>0</v>
      </c>
      <c r="E706" s="5">
        <v>0</v>
      </c>
    </row>
    <row r="707" spans="1:5">
      <c r="A707" s="4" t="str">
        <f>"20228012414"</f>
        <v>20228012414</v>
      </c>
      <c r="B707" s="4" t="str">
        <f t="shared" si="11"/>
        <v>20220302</v>
      </c>
      <c r="C707" s="5">
        <v>88.3</v>
      </c>
      <c r="D707" s="5">
        <v>76.8</v>
      </c>
      <c r="E707" s="5">
        <v>81.4</v>
      </c>
    </row>
    <row r="708" spans="1:5">
      <c r="A708" s="4" t="str">
        <f>"20228012415"</f>
        <v>20228012415</v>
      </c>
      <c r="B708" s="4" t="str">
        <f t="shared" si="11"/>
        <v>20220302</v>
      </c>
      <c r="C708" s="5">
        <v>0</v>
      </c>
      <c r="D708" s="5">
        <v>0</v>
      </c>
      <c r="E708" s="5">
        <v>0</v>
      </c>
    </row>
    <row r="709" spans="1:5">
      <c r="A709" s="4" t="str">
        <f>"20228012416"</f>
        <v>20228012416</v>
      </c>
      <c r="B709" s="4" t="str">
        <f t="shared" si="11"/>
        <v>20220302</v>
      </c>
      <c r="C709" s="5">
        <v>0</v>
      </c>
      <c r="D709" s="5">
        <v>0</v>
      </c>
      <c r="E709" s="5">
        <v>0</v>
      </c>
    </row>
    <row r="710" spans="1:5">
      <c r="A710" s="4" t="str">
        <f>"20228012417"</f>
        <v>20228012417</v>
      </c>
      <c r="B710" s="4" t="str">
        <f t="shared" si="11"/>
        <v>20220302</v>
      </c>
      <c r="C710" s="5">
        <v>88.6</v>
      </c>
      <c r="D710" s="5">
        <v>79.6</v>
      </c>
      <c r="E710" s="5">
        <v>83.2</v>
      </c>
    </row>
    <row r="711" spans="1:5">
      <c r="A711" s="4" t="str">
        <f>"20228012418"</f>
        <v>20228012418</v>
      </c>
      <c r="B711" s="4" t="str">
        <f t="shared" si="11"/>
        <v>20220302</v>
      </c>
      <c r="C711" s="5">
        <v>80.3</v>
      </c>
      <c r="D711" s="5">
        <v>74.9</v>
      </c>
      <c r="E711" s="5">
        <v>77.06</v>
      </c>
    </row>
    <row r="712" spans="1:5">
      <c r="A712" s="4" t="str">
        <f>"20228012419"</f>
        <v>20228012419</v>
      </c>
      <c r="B712" s="4" t="str">
        <f t="shared" si="11"/>
        <v>20220302</v>
      </c>
      <c r="C712" s="5">
        <v>0</v>
      </c>
      <c r="D712" s="5">
        <v>0</v>
      </c>
      <c r="E712" s="5">
        <v>0</v>
      </c>
    </row>
    <row r="713" spans="1:5">
      <c r="A713" s="4" t="str">
        <f>"20228012420"</f>
        <v>20228012420</v>
      </c>
      <c r="B713" s="4" t="str">
        <f t="shared" si="11"/>
        <v>20220302</v>
      </c>
      <c r="C713" s="5">
        <v>0</v>
      </c>
      <c r="D713" s="5">
        <v>0</v>
      </c>
      <c r="E713" s="5">
        <v>0</v>
      </c>
    </row>
    <row r="714" spans="1:5">
      <c r="A714" s="4" t="str">
        <f>"20228012421"</f>
        <v>20228012421</v>
      </c>
      <c r="B714" s="4" t="str">
        <f t="shared" si="11"/>
        <v>20220302</v>
      </c>
      <c r="C714" s="5">
        <v>0</v>
      </c>
      <c r="D714" s="5">
        <v>0</v>
      </c>
      <c r="E714" s="5">
        <v>0</v>
      </c>
    </row>
    <row r="715" spans="1:5">
      <c r="A715" s="4" t="str">
        <f>"20228012422"</f>
        <v>20228012422</v>
      </c>
      <c r="B715" s="4" t="str">
        <f t="shared" si="11"/>
        <v>20220302</v>
      </c>
      <c r="C715" s="5">
        <v>97.8</v>
      </c>
      <c r="D715" s="5">
        <v>85</v>
      </c>
      <c r="E715" s="5">
        <v>90.12</v>
      </c>
    </row>
    <row r="716" spans="1:5">
      <c r="A716" s="4" t="str">
        <f>"20228012423"</f>
        <v>20228012423</v>
      </c>
      <c r="B716" s="4" t="str">
        <f t="shared" si="11"/>
        <v>20220302</v>
      </c>
      <c r="C716" s="5">
        <v>0</v>
      </c>
      <c r="D716" s="5">
        <v>0</v>
      </c>
      <c r="E716" s="5">
        <v>0</v>
      </c>
    </row>
    <row r="717" spans="1:5">
      <c r="A717" s="4" t="str">
        <f>"20228012424"</f>
        <v>20228012424</v>
      </c>
      <c r="B717" s="4" t="str">
        <f t="shared" si="11"/>
        <v>20220302</v>
      </c>
      <c r="C717" s="5">
        <v>69.9</v>
      </c>
      <c r="D717" s="5">
        <v>69.8</v>
      </c>
      <c r="E717" s="5">
        <v>69.84</v>
      </c>
    </row>
    <row r="718" spans="1:5">
      <c r="A718" s="4" t="str">
        <f>"20228012425"</f>
        <v>20228012425</v>
      </c>
      <c r="B718" s="4" t="str">
        <f t="shared" si="11"/>
        <v>20220302</v>
      </c>
      <c r="C718" s="5">
        <v>96.4</v>
      </c>
      <c r="D718" s="5">
        <v>89.5</v>
      </c>
      <c r="E718" s="5">
        <v>92.26</v>
      </c>
    </row>
    <row r="719" spans="1:5">
      <c r="A719" s="4" t="str">
        <f>"20228012426"</f>
        <v>20228012426</v>
      </c>
      <c r="B719" s="4" t="str">
        <f t="shared" si="11"/>
        <v>20220302</v>
      </c>
      <c r="C719" s="5">
        <v>95</v>
      </c>
      <c r="D719" s="5">
        <v>92.6</v>
      </c>
      <c r="E719" s="5">
        <v>93.56</v>
      </c>
    </row>
    <row r="720" spans="1:5">
      <c r="A720" s="4" t="str">
        <f>"20228012427"</f>
        <v>20228012427</v>
      </c>
      <c r="B720" s="4" t="str">
        <f t="shared" si="11"/>
        <v>20220302</v>
      </c>
      <c r="C720" s="5">
        <v>92.9</v>
      </c>
      <c r="D720" s="5">
        <v>85.9</v>
      </c>
      <c r="E720" s="5">
        <v>88.7</v>
      </c>
    </row>
    <row r="721" spans="1:5">
      <c r="A721" s="4" t="str">
        <f>"20228012428"</f>
        <v>20228012428</v>
      </c>
      <c r="B721" s="4" t="str">
        <f t="shared" si="11"/>
        <v>20220302</v>
      </c>
      <c r="C721" s="5">
        <v>82.3</v>
      </c>
      <c r="D721" s="5">
        <v>79.3</v>
      </c>
      <c r="E721" s="5">
        <v>80.5</v>
      </c>
    </row>
    <row r="722" spans="1:5">
      <c r="A722" s="4" t="str">
        <f>"20228012429"</f>
        <v>20228012429</v>
      </c>
      <c r="B722" s="4" t="str">
        <f t="shared" si="11"/>
        <v>20220302</v>
      </c>
      <c r="C722" s="5">
        <v>89.3</v>
      </c>
      <c r="D722" s="5">
        <v>92.2</v>
      </c>
      <c r="E722" s="5">
        <v>91.04</v>
      </c>
    </row>
    <row r="723" spans="1:5">
      <c r="A723" s="4" t="str">
        <f>"20228012430"</f>
        <v>20228012430</v>
      </c>
      <c r="B723" s="4" t="str">
        <f t="shared" si="11"/>
        <v>20220302</v>
      </c>
      <c r="C723" s="5">
        <v>0</v>
      </c>
      <c r="D723" s="5">
        <v>0</v>
      </c>
      <c r="E723" s="5">
        <v>0</v>
      </c>
    </row>
    <row r="724" spans="1:5">
      <c r="A724" s="4" t="str">
        <f>"20228012501"</f>
        <v>20228012501</v>
      </c>
      <c r="B724" s="4" t="str">
        <f t="shared" si="11"/>
        <v>20220302</v>
      </c>
      <c r="C724" s="5">
        <v>96.8</v>
      </c>
      <c r="D724" s="5">
        <v>88.1</v>
      </c>
      <c r="E724" s="5">
        <v>91.58</v>
      </c>
    </row>
    <row r="725" spans="1:5">
      <c r="A725" s="4" t="str">
        <f>"20228012502"</f>
        <v>20228012502</v>
      </c>
      <c r="B725" s="4" t="str">
        <f t="shared" si="11"/>
        <v>20220302</v>
      </c>
      <c r="C725" s="5">
        <v>0</v>
      </c>
      <c r="D725" s="5">
        <v>0</v>
      </c>
      <c r="E725" s="5">
        <v>0</v>
      </c>
    </row>
    <row r="726" spans="1:5">
      <c r="A726" s="4" t="str">
        <f>"20228012503"</f>
        <v>20228012503</v>
      </c>
      <c r="B726" s="4" t="str">
        <f t="shared" si="11"/>
        <v>20220302</v>
      </c>
      <c r="C726" s="5">
        <v>0</v>
      </c>
      <c r="D726" s="5">
        <v>0</v>
      </c>
      <c r="E726" s="5">
        <v>0</v>
      </c>
    </row>
    <row r="727" spans="1:5">
      <c r="A727" s="4" t="str">
        <f>"20228012504"</f>
        <v>20228012504</v>
      </c>
      <c r="B727" s="4" t="str">
        <f t="shared" si="11"/>
        <v>20220302</v>
      </c>
      <c r="C727" s="5">
        <v>82.7</v>
      </c>
      <c r="D727" s="5">
        <v>78.2</v>
      </c>
      <c r="E727" s="5">
        <v>80</v>
      </c>
    </row>
    <row r="728" spans="1:5">
      <c r="A728" s="4" t="str">
        <f>"20228012505"</f>
        <v>20228012505</v>
      </c>
      <c r="B728" s="4" t="str">
        <f t="shared" si="11"/>
        <v>20220302</v>
      </c>
      <c r="C728" s="5">
        <v>81.4</v>
      </c>
      <c r="D728" s="5">
        <v>84.3</v>
      </c>
      <c r="E728" s="5">
        <v>83.14</v>
      </c>
    </row>
    <row r="729" spans="1:5">
      <c r="A729" s="4" t="str">
        <f>"20228012506"</f>
        <v>20228012506</v>
      </c>
      <c r="B729" s="4" t="str">
        <f t="shared" si="11"/>
        <v>20220302</v>
      </c>
      <c r="C729" s="5">
        <v>87.2</v>
      </c>
      <c r="D729" s="5">
        <v>79.7</v>
      </c>
      <c r="E729" s="5">
        <v>82.7</v>
      </c>
    </row>
    <row r="730" spans="1:5">
      <c r="A730" s="4" t="str">
        <f>"20228012507"</f>
        <v>20228012507</v>
      </c>
      <c r="B730" s="4" t="str">
        <f t="shared" si="11"/>
        <v>20220302</v>
      </c>
      <c r="C730" s="5">
        <v>0</v>
      </c>
      <c r="D730" s="5">
        <v>0</v>
      </c>
      <c r="E730" s="5">
        <v>0</v>
      </c>
    </row>
    <row r="731" spans="1:5">
      <c r="A731" s="4" t="str">
        <f>"20228012508"</f>
        <v>20228012508</v>
      </c>
      <c r="B731" s="4" t="str">
        <f t="shared" si="11"/>
        <v>20220302</v>
      </c>
      <c r="C731" s="5">
        <v>80.3</v>
      </c>
      <c r="D731" s="5">
        <v>87.4</v>
      </c>
      <c r="E731" s="5">
        <v>84.56</v>
      </c>
    </row>
    <row r="732" spans="1:5">
      <c r="A732" s="4" t="str">
        <f>"20228012509"</f>
        <v>20228012509</v>
      </c>
      <c r="B732" s="4" t="str">
        <f t="shared" si="11"/>
        <v>20220302</v>
      </c>
      <c r="C732" s="5">
        <v>0</v>
      </c>
      <c r="D732" s="5">
        <v>0</v>
      </c>
      <c r="E732" s="5">
        <v>0</v>
      </c>
    </row>
    <row r="733" spans="1:5">
      <c r="A733" s="4" t="str">
        <f>"20228012510"</f>
        <v>20228012510</v>
      </c>
      <c r="B733" s="4" t="str">
        <f t="shared" si="11"/>
        <v>20220302</v>
      </c>
      <c r="C733" s="5">
        <v>95.6</v>
      </c>
      <c r="D733" s="5">
        <v>80</v>
      </c>
      <c r="E733" s="5">
        <v>86.24</v>
      </c>
    </row>
    <row r="734" spans="1:5">
      <c r="A734" s="4" t="str">
        <f>"20228012511"</f>
        <v>20228012511</v>
      </c>
      <c r="B734" s="4" t="str">
        <f t="shared" si="11"/>
        <v>20220302</v>
      </c>
      <c r="C734" s="5">
        <v>78.8</v>
      </c>
      <c r="D734" s="5">
        <v>82.2</v>
      </c>
      <c r="E734" s="5">
        <v>80.84</v>
      </c>
    </row>
    <row r="735" spans="1:5">
      <c r="A735" s="4" t="str">
        <f>"20228012512"</f>
        <v>20228012512</v>
      </c>
      <c r="B735" s="4" t="str">
        <f t="shared" si="11"/>
        <v>20220302</v>
      </c>
      <c r="C735" s="5">
        <v>0</v>
      </c>
      <c r="D735" s="5">
        <v>0</v>
      </c>
      <c r="E735" s="5">
        <v>0</v>
      </c>
    </row>
    <row r="736" spans="1:5">
      <c r="A736" s="4" t="str">
        <f>"20228012513"</f>
        <v>20228012513</v>
      </c>
      <c r="B736" s="4" t="str">
        <f t="shared" si="11"/>
        <v>20220302</v>
      </c>
      <c r="C736" s="5">
        <v>0</v>
      </c>
      <c r="D736" s="5">
        <v>0</v>
      </c>
      <c r="E736" s="5">
        <v>0</v>
      </c>
    </row>
    <row r="737" spans="1:5">
      <c r="A737" s="4" t="str">
        <f>"20228012514"</f>
        <v>20228012514</v>
      </c>
      <c r="B737" s="4" t="str">
        <f t="shared" si="11"/>
        <v>20220302</v>
      </c>
      <c r="C737" s="5">
        <v>82.8</v>
      </c>
      <c r="D737" s="5">
        <v>81.1</v>
      </c>
      <c r="E737" s="5">
        <v>81.78</v>
      </c>
    </row>
    <row r="738" spans="1:5">
      <c r="A738" s="4" t="str">
        <f>"20228012515"</f>
        <v>20228012515</v>
      </c>
      <c r="B738" s="4" t="str">
        <f t="shared" si="11"/>
        <v>20220302</v>
      </c>
      <c r="C738" s="5">
        <v>0</v>
      </c>
      <c r="D738" s="5">
        <v>0</v>
      </c>
      <c r="E738" s="5">
        <v>0</v>
      </c>
    </row>
    <row r="739" spans="1:5">
      <c r="A739" s="4" t="str">
        <f>"20228012516"</f>
        <v>20228012516</v>
      </c>
      <c r="B739" s="4" t="str">
        <f t="shared" si="11"/>
        <v>20220302</v>
      </c>
      <c r="C739" s="5">
        <v>88.7</v>
      </c>
      <c r="D739" s="5">
        <v>88.4</v>
      </c>
      <c r="E739" s="5">
        <v>88.52</v>
      </c>
    </row>
    <row r="740" spans="1:5">
      <c r="A740" s="4" t="str">
        <f>"20228012517"</f>
        <v>20228012517</v>
      </c>
      <c r="B740" s="4" t="str">
        <f t="shared" si="11"/>
        <v>20220302</v>
      </c>
      <c r="C740" s="5">
        <v>92.5</v>
      </c>
      <c r="D740" s="5">
        <v>79.3</v>
      </c>
      <c r="E740" s="5">
        <v>84.58</v>
      </c>
    </row>
    <row r="741" spans="1:5">
      <c r="A741" s="4" t="str">
        <f>"20228012518"</f>
        <v>20228012518</v>
      </c>
      <c r="B741" s="4" t="str">
        <f t="shared" si="11"/>
        <v>20220302</v>
      </c>
      <c r="C741" s="5">
        <v>86.5</v>
      </c>
      <c r="D741" s="5">
        <v>85.9</v>
      </c>
      <c r="E741" s="5">
        <v>86.14</v>
      </c>
    </row>
    <row r="742" spans="1:5">
      <c r="A742" s="4" t="str">
        <f>"20228012519"</f>
        <v>20228012519</v>
      </c>
      <c r="B742" s="4" t="str">
        <f t="shared" si="11"/>
        <v>20220302</v>
      </c>
      <c r="C742" s="5">
        <v>100.2</v>
      </c>
      <c r="D742" s="5">
        <v>82.3</v>
      </c>
      <c r="E742" s="5">
        <v>89.46</v>
      </c>
    </row>
    <row r="743" spans="1:5">
      <c r="A743" s="4" t="str">
        <f>"20228012520"</f>
        <v>20228012520</v>
      </c>
      <c r="B743" s="4" t="str">
        <f t="shared" si="11"/>
        <v>20220302</v>
      </c>
      <c r="C743" s="5">
        <v>0</v>
      </c>
      <c r="D743" s="5">
        <v>0</v>
      </c>
      <c r="E743" s="5">
        <v>0</v>
      </c>
    </row>
    <row r="744" spans="1:5">
      <c r="A744" s="4" t="str">
        <f>"20228012521"</f>
        <v>20228012521</v>
      </c>
      <c r="B744" s="4" t="str">
        <f t="shared" si="11"/>
        <v>20220302</v>
      </c>
      <c r="C744" s="5">
        <v>101.7</v>
      </c>
      <c r="D744" s="5">
        <v>84.6</v>
      </c>
      <c r="E744" s="5">
        <v>91.44</v>
      </c>
    </row>
    <row r="745" spans="1:5">
      <c r="A745" s="4" t="str">
        <f>"20228012522"</f>
        <v>20228012522</v>
      </c>
      <c r="B745" s="4" t="str">
        <f t="shared" si="11"/>
        <v>20220302</v>
      </c>
      <c r="C745" s="5">
        <v>90.2</v>
      </c>
      <c r="D745" s="5">
        <v>80.6</v>
      </c>
      <c r="E745" s="5">
        <v>84.44</v>
      </c>
    </row>
    <row r="746" spans="1:5">
      <c r="A746" s="4" t="str">
        <f>"20228012523"</f>
        <v>20228012523</v>
      </c>
      <c r="B746" s="4" t="str">
        <f t="shared" si="11"/>
        <v>20220302</v>
      </c>
      <c r="C746" s="5">
        <v>85.2</v>
      </c>
      <c r="D746" s="5">
        <v>84.6</v>
      </c>
      <c r="E746" s="5">
        <v>84.84</v>
      </c>
    </row>
    <row r="747" spans="1:5">
      <c r="A747" s="4" t="str">
        <f>"20228012524"</f>
        <v>20228012524</v>
      </c>
      <c r="B747" s="4" t="str">
        <f t="shared" si="11"/>
        <v>20220302</v>
      </c>
      <c r="C747" s="5">
        <v>0</v>
      </c>
      <c r="D747" s="5">
        <v>0</v>
      </c>
      <c r="E747" s="5">
        <v>0</v>
      </c>
    </row>
    <row r="748" spans="1:5">
      <c r="A748" s="4" t="str">
        <f>"20228012525"</f>
        <v>20228012525</v>
      </c>
      <c r="B748" s="4" t="str">
        <f t="shared" si="11"/>
        <v>20220302</v>
      </c>
      <c r="C748" s="5">
        <v>104.5</v>
      </c>
      <c r="D748" s="5">
        <v>86.8</v>
      </c>
      <c r="E748" s="5">
        <v>93.88</v>
      </c>
    </row>
    <row r="749" spans="1:5">
      <c r="A749" s="4" t="str">
        <f>"20228012526"</f>
        <v>20228012526</v>
      </c>
      <c r="B749" s="4" t="str">
        <f t="shared" si="11"/>
        <v>20220302</v>
      </c>
      <c r="C749" s="5">
        <v>81</v>
      </c>
      <c r="D749" s="5">
        <v>76.7</v>
      </c>
      <c r="E749" s="5">
        <v>78.42</v>
      </c>
    </row>
    <row r="750" spans="1:5">
      <c r="A750" s="4" t="str">
        <f>"20228012527"</f>
        <v>20228012527</v>
      </c>
      <c r="B750" s="4" t="str">
        <f t="shared" si="11"/>
        <v>20220302</v>
      </c>
      <c r="C750" s="5">
        <v>72</v>
      </c>
      <c r="D750" s="5">
        <v>77.7</v>
      </c>
      <c r="E750" s="5">
        <v>75.42</v>
      </c>
    </row>
    <row r="751" spans="1:5">
      <c r="A751" s="4" t="str">
        <f>"20228012528"</f>
        <v>20228012528</v>
      </c>
      <c r="B751" s="4" t="str">
        <f t="shared" si="11"/>
        <v>20220302</v>
      </c>
      <c r="C751" s="5">
        <v>82.9</v>
      </c>
      <c r="D751" s="5">
        <v>82.9</v>
      </c>
      <c r="E751" s="5">
        <v>82.9</v>
      </c>
    </row>
    <row r="752" spans="1:5">
      <c r="A752" s="4" t="str">
        <f>"20228012529"</f>
        <v>20228012529</v>
      </c>
      <c r="B752" s="4" t="str">
        <f t="shared" si="11"/>
        <v>20220302</v>
      </c>
      <c r="C752" s="5">
        <v>85.7</v>
      </c>
      <c r="D752" s="5">
        <v>83.2</v>
      </c>
      <c r="E752" s="5">
        <v>84.2</v>
      </c>
    </row>
    <row r="753" spans="1:5">
      <c r="A753" s="4" t="str">
        <f>"20228012530"</f>
        <v>20228012530</v>
      </c>
      <c r="B753" s="4" t="str">
        <f t="shared" si="11"/>
        <v>20220302</v>
      </c>
      <c r="C753" s="5">
        <v>77.6</v>
      </c>
      <c r="D753" s="5">
        <v>77.1</v>
      </c>
      <c r="E753" s="5">
        <v>77.3</v>
      </c>
    </row>
    <row r="754" spans="1:5">
      <c r="A754" s="4" t="str">
        <f>"20228012601"</f>
        <v>20228012601</v>
      </c>
      <c r="B754" s="4" t="str">
        <f t="shared" si="11"/>
        <v>20220302</v>
      </c>
      <c r="C754" s="5">
        <v>80.6</v>
      </c>
      <c r="D754" s="5">
        <v>86.3</v>
      </c>
      <c r="E754" s="5">
        <v>84.02</v>
      </c>
    </row>
    <row r="755" spans="1:5">
      <c r="A755" s="4" t="str">
        <f>"20228012602"</f>
        <v>20228012602</v>
      </c>
      <c r="B755" s="4" t="str">
        <f t="shared" si="11"/>
        <v>20220302</v>
      </c>
      <c r="C755" s="5">
        <v>0</v>
      </c>
      <c r="D755" s="5">
        <v>0</v>
      </c>
      <c r="E755" s="5">
        <v>0</v>
      </c>
    </row>
    <row r="756" spans="1:5">
      <c r="A756" s="4" t="str">
        <f>"20228012603"</f>
        <v>20228012603</v>
      </c>
      <c r="B756" s="4" t="str">
        <f t="shared" ref="B756:B819" si="12">"20220302"</f>
        <v>20220302</v>
      </c>
      <c r="C756" s="5">
        <v>79.5</v>
      </c>
      <c r="D756" s="5">
        <v>76.8</v>
      </c>
      <c r="E756" s="5">
        <v>77.88</v>
      </c>
    </row>
    <row r="757" spans="1:5">
      <c r="A757" s="4" t="str">
        <f>"20228012604"</f>
        <v>20228012604</v>
      </c>
      <c r="B757" s="4" t="str">
        <f t="shared" si="12"/>
        <v>20220302</v>
      </c>
      <c r="C757" s="5">
        <v>98.9</v>
      </c>
      <c r="D757" s="5">
        <v>92.9</v>
      </c>
      <c r="E757" s="5">
        <v>95.3</v>
      </c>
    </row>
    <row r="758" spans="1:5">
      <c r="A758" s="4" t="str">
        <f>"20228012605"</f>
        <v>20228012605</v>
      </c>
      <c r="B758" s="4" t="str">
        <f t="shared" si="12"/>
        <v>20220302</v>
      </c>
      <c r="C758" s="5">
        <v>83.7</v>
      </c>
      <c r="D758" s="5">
        <v>87.1</v>
      </c>
      <c r="E758" s="5">
        <v>85.74</v>
      </c>
    </row>
    <row r="759" spans="1:5">
      <c r="A759" s="4" t="str">
        <f>"20228012606"</f>
        <v>20228012606</v>
      </c>
      <c r="B759" s="4" t="str">
        <f t="shared" si="12"/>
        <v>20220302</v>
      </c>
      <c r="C759" s="5">
        <v>82.8</v>
      </c>
      <c r="D759" s="5">
        <v>79.8</v>
      </c>
      <c r="E759" s="5">
        <v>81</v>
      </c>
    </row>
    <row r="760" spans="1:5">
      <c r="A760" s="4" t="str">
        <f>"20228012607"</f>
        <v>20228012607</v>
      </c>
      <c r="B760" s="4" t="str">
        <f t="shared" si="12"/>
        <v>20220302</v>
      </c>
      <c r="C760" s="5">
        <v>93.2</v>
      </c>
      <c r="D760" s="5">
        <v>96.4</v>
      </c>
      <c r="E760" s="5">
        <v>95.12</v>
      </c>
    </row>
    <row r="761" spans="1:5">
      <c r="A761" s="4" t="str">
        <f>"20228012608"</f>
        <v>20228012608</v>
      </c>
      <c r="B761" s="4" t="str">
        <f t="shared" si="12"/>
        <v>20220302</v>
      </c>
      <c r="C761" s="5">
        <v>0</v>
      </c>
      <c r="D761" s="5">
        <v>0</v>
      </c>
      <c r="E761" s="5">
        <v>0</v>
      </c>
    </row>
    <row r="762" spans="1:5">
      <c r="A762" s="4" t="str">
        <f>"20228012609"</f>
        <v>20228012609</v>
      </c>
      <c r="B762" s="4" t="str">
        <f t="shared" si="12"/>
        <v>20220302</v>
      </c>
      <c r="C762" s="5">
        <v>95.8</v>
      </c>
      <c r="D762" s="5">
        <v>89.4</v>
      </c>
      <c r="E762" s="5">
        <v>91.96</v>
      </c>
    </row>
    <row r="763" spans="1:5">
      <c r="A763" s="4" t="str">
        <f>"20228012610"</f>
        <v>20228012610</v>
      </c>
      <c r="B763" s="4" t="str">
        <f t="shared" si="12"/>
        <v>20220302</v>
      </c>
      <c r="C763" s="5">
        <v>0</v>
      </c>
      <c r="D763" s="5">
        <v>0</v>
      </c>
      <c r="E763" s="5">
        <v>0</v>
      </c>
    </row>
    <row r="764" spans="1:5">
      <c r="A764" s="4" t="str">
        <f>"20228012611"</f>
        <v>20228012611</v>
      </c>
      <c r="B764" s="4" t="str">
        <f t="shared" si="12"/>
        <v>20220302</v>
      </c>
      <c r="C764" s="5">
        <v>0</v>
      </c>
      <c r="D764" s="5">
        <v>0</v>
      </c>
      <c r="E764" s="5">
        <v>0</v>
      </c>
    </row>
    <row r="765" spans="1:5">
      <c r="A765" s="4" t="str">
        <f>"20228012612"</f>
        <v>20228012612</v>
      </c>
      <c r="B765" s="4" t="str">
        <f t="shared" si="12"/>
        <v>20220302</v>
      </c>
      <c r="C765" s="5">
        <v>97.3</v>
      </c>
      <c r="D765" s="5">
        <v>91.7</v>
      </c>
      <c r="E765" s="5">
        <v>93.94</v>
      </c>
    </row>
    <row r="766" spans="1:5">
      <c r="A766" s="4" t="str">
        <f>"20228012613"</f>
        <v>20228012613</v>
      </c>
      <c r="B766" s="4" t="str">
        <f t="shared" si="12"/>
        <v>20220302</v>
      </c>
      <c r="C766" s="5">
        <v>0</v>
      </c>
      <c r="D766" s="5">
        <v>0</v>
      </c>
      <c r="E766" s="5">
        <v>0</v>
      </c>
    </row>
    <row r="767" spans="1:5">
      <c r="A767" s="4" t="str">
        <f>"20228012614"</f>
        <v>20228012614</v>
      </c>
      <c r="B767" s="4" t="str">
        <f t="shared" si="12"/>
        <v>20220302</v>
      </c>
      <c r="C767" s="5">
        <v>86.7</v>
      </c>
      <c r="D767" s="5">
        <v>84.6</v>
      </c>
      <c r="E767" s="5">
        <v>85.44</v>
      </c>
    </row>
    <row r="768" spans="1:5">
      <c r="A768" s="4" t="str">
        <f>"20228012615"</f>
        <v>20228012615</v>
      </c>
      <c r="B768" s="4" t="str">
        <f t="shared" si="12"/>
        <v>20220302</v>
      </c>
      <c r="C768" s="5">
        <v>97.4</v>
      </c>
      <c r="D768" s="5">
        <v>82.5</v>
      </c>
      <c r="E768" s="5">
        <v>88.46</v>
      </c>
    </row>
    <row r="769" spans="1:5">
      <c r="A769" s="4" t="str">
        <f>"20228012616"</f>
        <v>20228012616</v>
      </c>
      <c r="B769" s="4" t="str">
        <f t="shared" si="12"/>
        <v>20220302</v>
      </c>
      <c r="C769" s="5">
        <v>95.3</v>
      </c>
      <c r="D769" s="5">
        <v>86.8</v>
      </c>
      <c r="E769" s="5">
        <v>90.2</v>
      </c>
    </row>
    <row r="770" spans="1:5">
      <c r="A770" s="4" t="str">
        <f>"20228012617"</f>
        <v>20228012617</v>
      </c>
      <c r="B770" s="4" t="str">
        <f t="shared" si="12"/>
        <v>20220302</v>
      </c>
      <c r="C770" s="5">
        <v>90.3</v>
      </c>
      <c r="D770" s="5">
        <v>83.6</v>
      </c>
      <c r="E770" s="5">
        <v>86.28</v>
      </c>
    </row>
    <row r="771" spans="1:5">
      <c r="A771" s="4" t="str">
        <f>"20228012618"</f>
        <v>20228012618</v>
      </c>
      <c r="B771" s="4" t="str">
        <f t="shared" si="12"/>
        <v>20220302</v>
      </c>
      <c r="C771" s="5">
        <v>0</v>
      </c>
      <c r="D771" s="5">
        <v>0</v>
      </c>
      <c r="E771" s="5">
        <v>0</v>
      </c>
    </row>
    <row r="772" spans="1:5">
      <c r="A772" s="4" t="str">
        <f>"20228012619"</f>
        <v>20228012619</v>
      </c>
      <c r="B772" s="4" t="str">
        <f t="shared" si="12"/>
        <v>20220302</v>
      </c>
      <c r="C772" s="5">
        <v>96.2</v>
      </c>
      <c r="D772" s="5">
        <v>83.2</v>
      </c>
      <c r="E772" s="5">
        <v>88.4</v>
      </c>
    </row>
    <row r="773" spans="1:5">
      <c r="A773" s="4" t="str">
        <f>"20228012620"</f>
        <v>20228012620</v>
      </c>
      <c r="B773" s="4" t="str">
        <f t="shared" si="12"/>
        <v>20220302</v>
      </c>
      <c r="C773" s="5">
        <v>88.2</v>
      </c>
      <c r="D773" s="5">
        <v>81.2</v>
      </c>
      <c r="E773" s="5">
        <v>84</v>
      </c>
    </row>
    <row r="774" spans="1:5">
      <c r="A774" s="4" t="str">
        <f>"20228012621"</f>
        <v>20228012621</v>
      </c>
      <c r="B774" s="4" t="str">
        <f t="shared" si="12"/>
        <v>20220302</v>
      </c>
      <c r="C774" s="5">
        <v>0</v>
      </c>
      <c r="D774" s="5">
        <v>0</v>
      </c>
      <c r="E774" s="5">
        <v>0</v>
      </c>
    </row>
    <row r="775" spans="1:5">
      <c r="A775" s="4" t="str">
        <f>"20228012622"</f>
        <v>20228012622</v>
      </c>
      <c r="B775" s="4" t="str">
        <f t="shared" si="12"/>
        <v>20220302</v>
      </c>
      <c r="C775" s="5">
        <v>0</v>
      </c>
      <c r="D775" s="5">
        <v>0</v>
      </c>
      <c r="E775" s="5">
        <v>0</v>
      </c>
    </row>
    <row r="776" spans="1:5">
      <c r="A776" s="4" t="str">
        <f>"20228012623"</f>
        <v>20228012623</v>
      </c>
      <c r="B776" s="4" t="str">
        <f t="shared" si="12"/>
        <v>20220302</v>
      </c>
      <c r="C776" s="5">
        <v>0</v>
      </c>
      <c r="D776" s="5">
        <v>0</v>
      </c>
      <c r="E776" s="5">
        <v>0</v>
      </c>
    </row>
    <row r="777" spans="1:5">
      <c r="A777" s="4" t="str">
        <f>"20228012624"</f>
        <v>20228012624</v>
      </c>
      <c r="B777" s="4" t="str">
        <f t="shared" si="12"/>
        <v>20220302</v>
      </c>
      <c r="C777" s="5">
        <v>94.8</v>
      </c>
      <c r="D777" s="5">
        <v>91.1</v>
      </c>
      <c r="E777" s="5">
        <v>92.58</v>
      </c>
    </row>
    <row r="778" spans="1:5">
      <c r="A778" s="4" t="str">
        <f>"20228012625"</f>
        <v>20228012625</v>
      </c>
      <c r="B778" s="4" t="str">
        <f t="shared" si="12"/>
        <v>20220302</v>
      </c>
      <c r="C778" s="5">
        <v>80.6</v>
      </c>
      <c r="D778" s="5">
        <v>86</v>
      </c>
      <c r="E778" s="5">
        <v>83.84</v>
      </c>
    </row>
    <row r="779" spans="1:5">
      <c r="A779" s="4" t="str">
        <f>"20228012626"</f>
        <v>20228012626</v>
      </c>
      <c r="B779" s="4" t="str">
        <f t="shared" si="12"/>
        <v>20220302</v>
      </c>
      <c r="C779" s="5">
        <v>71.3</v>
      </c>
      <c r="D779" s="5">
        <v>72.7</v>
      </c>
      <c r="E779" s="5">
        <v>72.14</v>
      </c>
    </row>
    <row r="780" spans="1:5">
      <c r="A780" s="4" t="str">
        <f>"20228012627"</f>
        <v>20228012627</v>
      </c>
      <c r="B780" s="4" t="str">
        <f t="shared" si="12"/>
        <v>20220302</v>
      </c>
      <c r="C780" s="5">
        <v>81</v>
      </c>
      <c r="D780" s="5">
        <v>81.3</v>
      </c>
      <c r="E780" s="5">
        <v>81.18</v>
      </c>
    </row>
    <row r="781" spans="1:5">
      <c r="A781" s="4" t="str">
        <f>"20228012628"</f>
        <v>20228012628</v>
      </c>
      <c r="B781" s="4" t="str">
        <f t="shared" si="12"/>
        <v>20220302</v>
      </c>
      <c r="C781" s="5">
        <v>85.4</v>
      </c>
      <c r="D781" s="5">
        <v>80.2</v>
      </c>
      <c r="E781" s="5">
        <v>82.28</v>
      </c>
    </row>
    <row r="782" spans="1:5">
      <c r="A782" s="4" t="str">
        <f>"20228012629"</f>
        <v>20228012629</v>
      </c>
      <c r="B782" s="4" t="str">
        <f t="shared" si="12"/>
        <v>20220302</v>
      </c>
      <c r="C782" s="5">
        <v>103.9</v>
      </c>
      <c r="D782" s="5">
        <v>83.1</v>
      </c>
      <c r="E782" s="5">
        <v>91.42</v>
      </c>
    </row>
    <row r="783" spans="1:5">
      <c r="A783" s="4" t="str">
        <f>"20228012630"</f>
        <v>20228012630</v>
      </c>
      <c r="B783" s="4" t="str">
        <f t="shared" si="12"/>
        <v>20220302</v>
      </c>
      <c r="C783" s="5">
        <v>96.3</v>
      </c>
      <c r="D783" s="5">
        <v>95.1</v>
      </c>
      <c r="E783" s="5">
        <v>95.58</v>
      </c>
    </row>
    <row r="784" spans="1:5">
      <c r="A784" s="4" t="str">
        <f>"20228012701"</f>
        <v>20228012701</v>
      </c>
      <c r="B784" s="4" t="str">
        <f t="shared" si="12"/>
        <v>20220302</v>
      </c>
      <c r="C784" s="5">
        <v>92.3</v>
      </c>
      <c r="D784" s="5">
        <v>88.8</v>
      </c>
      <c r="E784" s="5">
        <v>90.2</v>
      </c>
    </row>
    <row r="785" spans="1:5">
      <c r="A785" s="4" t="str">
        <f>"20228012702"</f>
        <v>20228012702</v>
      </c>
      <c r="B785" s="4" t="str">
        <f t="shared" si="12"/>
        <v>20220302</v>
      </c>
      <c r="C785" s="5">
        <v>101.8</v>
      </c>
      <c r="D785" s="5">
        <v>86.9</v>
      </c>
      <c r="E785" s="5">
        <v>92.86</v>
      </c>
    </row>
    <row r="786" spans="1:5">
      <c r="A786" s="4" t="str">
        <f>"20228012703"</f>
        <v>20228012703</v>
      </c>
      <c r="B786" s="4" t="str">
        <f t="shared" si="12"/>
        <v>20220302</v>
      </c>
      <c r="C786" s="5">
        <v>95.5</v>
      </c>
      <c r="D786" s="5">
        <v>88.8</v>
      </c>
      <c r="E786" s="5">
        <v>91.48</v>
      </c>
    </row>
    <row r="787" spans="1:5">
      <c r="A787" s="4" t="str">
        <f>"20228012704"</f>
        <v>20228012704</v>
      </c>
      <c r="B787" s="4" t="str">
        <f t="shared" si="12"/>
        <v>20220302</v>
      </c>
      <c r="C787" s="5">
        <v>86.8</v>
      </c>
      <c r="D787" s="5">
        <v>79</v>
      </c>
      <c r="E787" s="5">
        <v>82.12</v>
      </c>
    </row>
    <row r="788" spans="1:5">
      <c r="A788" s="4" t="str">
        <f>"20228012705"</f>
        <v>20228012705</v>
      </c>
      <c r="B788" s="4" t="str">
        <f t="shared" si="12"/>
        <v>20220302</v>
      </c>
      <c r="C788" s="5">
        <v>100.2</v>
      </c>
      <c r="D788" s="5">
        <v>91.2</v>
      </c>
      <c r="E788" s="5">
        <v>94.8</v>
      </c>
    </row>
    <row r="789" spans="1:5">
      <c r="A789" s="4" t="str">
        <f>"20228012706"</f>
        <v>20228012706</v>
      </c>
      <c r="B789" s="4" t="str">
        <f t="shared" si="12"/>
        <v>20220302</v>
      </c>
      <c r="C789" s="5">
        <v>0</v>
      </c>
      <c r="D789" s="5">
        <v>0</v>
      </c>
      <c r="E789" s="5">
        <v>0</v>
      </c>
    </row>
    <row r="790" spans="1:5">
      <c r="A790" s="4" t="str">
        <f>"20228012707"</f>
        <v>20228012707</v>
      </c>
      <c r="B790" s="4" t="str">
        <f t="shared" si="12"/>
        <v>20220302</v>
      </c>
      <c r="C790" s="5">
        <v>0</v>
      </c>
      <c r="D790" s="5">
        <v>0</v>
      </c>
      <c r="E790" s="5">
        <v>0</v>
      </c>
    </row>
    <row r="791" spans="1:5">
      <c r="A791" s="4" t="str">
        <f>"20228012708"</f>
        <v>20228012708</v>
      </c>
      <c r="B791" s="4" t="str">
        <f t="shared" si="12"/>
        <v>20220302</v>
      </c>
      <c r="C791" s="5">
        <v>71.6</v>
      </c>
      <c r="D791" s="5">
        <v>78.5</v>
      </c>
      <c r="E791" s="5">
        <v>75.74</v>
      </c>
    </row>
    <row r="792" spans="1:5">
      <c r="A792" s="4" t="str">
        <f>"20228012709"</f>
        <v>20228012709</v>
      </c>
      <c r="B792" s="4" t="str">
        <f t="shared" si="12"/>
        <v>20220302</v>
      </c>
      <c r="C792" s="5">
        <v>0</v>
      </c>
      <c r="D792" s="5">
        <v>0</v>
      </c>
      <c r="E792" s="5">
        <v>0</v>
      </c>
    </row>
    <row r="793" spans="1:5">
      <c r="A793" s="4" t="str">
        <f>"20228012710"</f>
        <v>20228012710</v>
      </c>
      <c r="B793" s="4" t="str">
        <f t="shared" si="12"/>
        <v>20220302</v>
      </c>
      <c r="C793" s="5">
        <v>91</v>
      </c>
      <c r="D793" s="5">
        <v>81.2</v>
      </c>
      <c r="E793" s="5">
        <v>85.12</v>
      </c>
    </row>
    <row r="794" spans="1:5">
      <c r="A794" s="4" t="str">
        <f>"20228012711"</f>
        <v>20228012711</v>
      </c>
      <c r="B794" s="4" t="str">
        <f t="shared" si="12"/>
        <v>20220302</v>
      </c>
      <c r="C794" s="5">
        <v>95.3</v>
      </c>
      <c r="D794" s="5">
        <v>87</v>
      </c>
      <c r="E794" s="5">
        <v>90.32</v>
      </c>
    </row>
    <row r="795" spans="1:5">
      <c r="A795" s="4" t="str">
        <f>"20228012712"</f>
        <v>20228012712</v>
      </c>
      <c r="B795" s="4" t="str">
        <f t="shared" si="12"/>
        <v>20220302</v>
      </c>
      <c r="C795" s="5">
        <v>96.7</v>
      </c>
      <c r="D795" s="5">
        <v>88.3</v>
      </c>
      <c r="E795" s="5">
        <v>91.66</v>
      </c>
    </row>
    <row r="796" spans="1:5">
      <c r="A796" s="4" t="str">
        <f>"20228012713"</f>
        <v>20228012713</v>
      </c>
      <c r="B796" s="4" t="str">
        <f t="shared" si="12"/>
        <v>20220302</v>
      </c>
      <c r="C796" s="5">
        <v>85.4</v>
      </c>
      <c r="D796" s="5">
        <v>84.4</v>
      </c>
      <c r="E796" s="5">
        <v>84.8</v>
      </c>
    </row>
    <row r="797" spans="1:5">
      <c r="A797" s="4" t="str">
        <f>"20228012714"</f>
        <v>20228012714</v>
      </c>
      <c r="B797" s="4" t="str">
        <f t="shared" si="12"/>
        <v>20220302</v>
      </c>
      <c r="C797" s="5">
        <v>88.6</v>
      </c>
      <c r="D797" s="5">
        <v>92.6</v>
      </c>
      <c r="E797" s="5">
        <v>91</v>
      </c>
    </row>
    <row r="798" spans="1:5">
      <c r="A798" s="4" t="str">
        <f>"20228012715"</f>
        <v>20228012715</v>
      </c>
      <c r="B798" s="4" t="str">
        <f t="shared" si="12"/>
        <v>20220302</v>
      </c>
      <c r="C798" s="5">
        <v>0</v>
      </c>
      <c r="D798" s="5">
        <v>0</v>
      </c>
      <c r="E798" s="5">
        <v>0</v>
      </c>
    </row>
    <row r="799" spans="1:5">
      <c r="A799" s="4" t="str">
        <f>"20228012716"</f>
        <v>20228012716</v>
      </c>
      <c r="B799" s="4" t="str">
        <f t="shared" si="12"/>
        <v>20220302</v>
      </c>
      <c r="C799" s="5">
        <v>70.9</v>
      </c>
      <c r="D799" s="5">
        <v>79.5</v>
      </c>
      <c r="E799" s="5">
        <v>76.06</v>
      </c>
    </row>
    <row r="800" spans="1:5">
      <c r="A800" s="4" t="str">
        <f>"20228012717"</f>
        <v>20228012717</v>
      </c>
      <c r="B800" s="4" t="str">
        <f t="shared" si="12"/>
        <v>20220302</v>
      </c>
      <c r="C800" s="5">
        <v>95.4</v>
      </c>
      <c r="D800" s="5">
        <v>85.9</v>
      </c>
      <c r="E800" s="5">
        <v>89.7</v>
      </c>
    </row>
    <row r="801" spans="1:5">
      <c r="A801" s="4" t="str">
        <f>"20228012718"</f>
        <v>20228012718</v>
      </c>
      <c r="B801" s="4" t="str">
        <f t="shared" si="12"/>
        <v>20220302</v>
      </c>
      <c r="C801" s="5">
        <v>82.4</v>
      </c>
      <c r="D801" s="5">
        <v>78</v>
      </c>
      <c r="E801" s="5">
        <v>79.76</v>
      </c>
    </row>
    <row r="802" spans="1:5">
      <c r="A802" s="4" t="str">
        <f>"20228012719"</f>
        <v>20228012719</v>
      </c>
      <c r="B802" s="4" t="str">
        <f t="shared" si="12"/>
        <v>20220302</v>
      </c>
      <c r="C802" s="5">
        <v>77.5</v>
      </c>
      <c r="D802" s="5">
        <v>84.3</v>
      </c>
      <c r="E802" s="5">
        <v>81.58</v>
      </c>
    </row>
    <row r="803" spans="1:5">
      <c r="A803" s="4" t="str">
        <f>"20228012720"</f>
        <v>20228012720</v>
      </c>
      <c r="B803" s="4" t="str">
        <f t="shared" si="12"/>
        <v>20220302</v>
      </c>
      <c r="C803" s="5">
        <v>82</v>
      </c>
      <c r="D803" s="5">
        <v>70.5</v>
      </c>
      <c r="E803" s="5">
        <v>75.1</v>
      </c>
    </row>
    <row r="804" spans="1:5">
      <c r="A804" s="4" t="str">
        <f>"20228012721"</f>
        <v>20228012721</v>
      </c>
      <c r="B804" s="4" t="str">
        <f t="shared" si="12"/>
        <v>20220302</v>
      </c>
      <c r="C804" s="5">
        <v>97.3</v>
      </c>
      <c r="D804" s="5">
        <v>92.8</v>
      </c>
      <c r="E804" s="5">
        <v>94.6</v>
      </c>
    </row>
    <row r="805" spans="1:5">
      <c r="A805" s="4" t="str">
        <f>"20228012722"</f>
        <v>20228012722</v>
      </c>
      <c r="B805" s="4" t="str">
        <f t="shared" si="12"/>
        <v>20220302</v>
      </c>
      <c r="C805" s="5">
        <v>92.5</v>
      </c>
      <c r="D805" s="5">
        <v>80.9</v>
      </c>
      <c r="E805" s="5">
        <v>85.54</v>
      </c>
    </row>
    <row r="806" spans="1:5">
      <c r="A806" s="4" t="str">
        <f>"20228012723"</f>
        <v>20228012723</v>
      </c>
      <c r="B806" s="4" t="str">
        <f t="shared" si="12"/>
        <v>20220302</v>
      </c>
      <c r="C806" s="5">
        <v>74.7</v>
      </c>
      <c r="D806" s="5">
        <v>80.1</v>
      </c>
      <c r="E806" s="5">
        <v>77.94</v>
      </c>
    </row>
    <row r="807" spans="1:5">
      <c r="A807" s="4" t="str">
        <f>"20228012724"</f>
        <v>20228012724</v>
      </c>
      <c r="B807" s="4" t="str">
        <f t="shared" si="12"/>
        <v>20220302</v>
      </c>
      <c r="C807" s="5">
        <v>90.5</v>
      </c>
      <c r="D807" s="5">
        <v>87.7</v>
      </c>
      <c r="E807" s="5">
        <v>88.82</v>
      </c>
    </row>
    <row r="808" spans="1:5">
      <c r="A808" s="4" t="str">
        <f>"20228012725"</f>
        <v>20228012725</v>
      </c>
      <c r="B808" s="4" t="str">
        <f t="shared" si="12"/>
        <v>20220302</v>
      </c>
      <c r="C808" s="5">
        <v>96.1</v>
      </c>
      <c r="D808" s="5">
        <v>85.6</v>
      </c>
      <c r="E808" s="5">
        <v>89.8</v>
      </c>
    </row>
    <row r="809" spans="1:5">
      <c r="A809" s="4" t="str">
        <f>"20228012726"</f>
        <v>20228012726</v>
      </c>
      <c r="B809" s="4" t="str">
        <f t="shared" si="12"/>
        <v>20220302</v>
      </c>
      <c r="C809" s="5">
        <v>94.5</v>
      </c>
      <c r="D809" s="5">
        <v>88.3</v>
      </c>
      <c r="E809" s="5">
        <v>90.78</v>
      </c>
    </row>
    <row r="810" spans="1:5">
      <c r="A810" s="4" t="str">
        <f>"20228012727"</f>
        <v>20228012727</v>
      </c>
      <c r="B810" s="4" t="str">
        <f t="shared" si="12"/>
        <v>20220302</v>
      </c>
      <c r="C810" s="5">
        <v>81.9</v>
      </c>
      <c r="D810" s="5">
        <v>77.8</v>
      </c>
      <c r="E810" s="5">
        <v>79.44</v>
      </c>
    </row>
    <row r="811" spans="1:5">
      <c r="A811" s="4" t="str">
        <f>"20228012728"</f>
        <v>20228012728</v>
      </c>
      <c r="B811" s="4" t="str">
        <f t="shared" si="12"/>
        <v>20220302</v>
      </c>
      <c r="C811" s="5">
        <v>75.5</v>
      </c>
      <c r="D811" s="5">
        <v>90.3</v>
      </c>
      <c r="E811" s="5">
        <v>84.38</v>
      </c>
    </row>
    <row r="812" spans="1:5">
      <c r="A812" s="4" t="str">
        <f>"20228012729"</f>
        <v>20228012729</v>
      </c>
      <c r="B812" s="4" t="str">
        <f t="shared" si="12"/>
        <v>20220302</v>
      </c>
      <c r="C812" s="5">
        <v>95.7</v>
      </c>
      <c r="D812" s="5">
        <v>78.3</v>
      </c>
      <c r="E812" s="5">
        <v>85.26</v>
      </c>
    </row>
    <row r="813" spans="1:5">
      <c r="A813" s="4" t="str">
        <f>"20228012730"</f>
        <v>20228012730</v>
      </c>
      <c r="B813" s="4" t="str">
        <f t="shared" si="12"/>
        <v>20220302</v>
      </c>
      <c r="C813" s="5">
        <v>59.8</v>
      </c>
      <c r="D813" s="5">
        <v>70.6</v>
      </c>
      <c r="E813" s="5">
        <v>66.28</v>
      </c>
    </row>
    <row r="814" spans="1:5">
      <c r="A814" s="4" t="str">
        <f>"20228012801"</f>
        <v>20228012801</v>
      </c>
      <c r="B814" s="4" t="str">
        <f t="shared" si="12"/>
        <v>20220302</v>
      </c>
      <c r="C814" s="5">
        <v>74.9</v>
      </c>
      <c r="D814" s="5">
        <v>85.1</v>
      </c>
      <c r="E814" s="5">
        <v>81.02</v>
      </c>
    </row>
    <row r="815" spans="1:5">
      <c r="A815" s="4" t="str">
        <f>"20228012802"</f>
        <v>20228012802</v>
      </c>
      <c r="B815" s="4" t="str">
        <f t="shared" si="12"/>
        <v>20220302</v>
      </c>
      <c r="C815" s="5">
        <v>84.4</v>
      </c>
      <c r="D815" s="5">
        <v>81.2</v>
      </c>
      <c r="E815" s="5">
        <v>82.48</v>
      </c>
    </row>
    <row r="816" spans="1:5">
      <c r="A816" s="4" t="str">
        <f>"20228012803"</f>
        <v>20228012803</v>
      </c>
      <c r="B816" s="4" t="str">
        <f t="shared" si="12"/>
        <v>20220302</v>
      </c>
      <c r="C816" s="5">
        <v>87.3</v>
      </c>
      <c r="D816" s="5">
        <v>81.6</v>
      </c>
      <c r="E816" s="5">
        <v>83.88</v>
      </c>
    </row>
    <row r="817" spans="1:5">
      <c r="A817" s="4" t="str">
        <f>"20228012804"</f>
        <v>20228012804</v>
      </c>
      <c r="B817" s="4" t="str">
        <f t="shared" si="12"/>
        <v>20220302</v>
      </c>
      <c r="C817" s="5">
        <v>82.7</v>
      </c>
      <c r="D817" s="5">
        <v>79</v>
      </c>
      <c r="E817" s="5">
        <v>80.48</v>
      </c>
    </row>
    <row r="818" spans="1:5">
      <c r="A818" s="4" t="str">
        <f>"20228012805"</f>
        <v>20228012805</v>
      </c>
      <c r="B818" s="4" t="str">
        <f t="shared" si="12"/>
        <v>20220302</v>
      </c>
      <c r="C818" s="5">
        <v>84</v>
      </c>
      <c r="D818" s="5">
        <v>78.9</v>
      </c>
      <c r="E818" s="5">
        <v>80.94</v>
      </c>
    </row>
    <row r="819" spans="1:5">
      <c r="A819" s="4" t="str">
        <f>"20228012806"</f>
        <v>20228012806</v>
      </c>
      <c r="B819" s="4" t="str">
        <f t="shared" si="12"/>
        <v>20220302</v>
      </c>
      <c r="C819" s="5">
        <v>94.6</v>
      </c>
      <c r="D819" s="5">
        <v>71.9</v>
      </c>
      <c r="E819" s="5">
        <v>80.98</v>
      </c>
    </row>
    <row r="820" spans="1:5">
      <c r="A820" s="4" t="str">
        <f>"20228012807"</f>
        <v>20228012807</v>
      </c>
      <c r="B820" s="4" t="str">
        <f t="shared" ref="B820:B883" si="13">"20220302"</f>
        <v>20220302</v>
      </c>
      <c r="C820" s="5">
        <v>77.6</v>
      </c>
      <c r="D820" s="5">
        <v>82.9</v>
      </c>
      <c r="E820" s="5">
        <v>80.78</v>
      </c>
    </row>
    <row r="821" spans="1:5">
      <c r="A821" s="4" t="str">
        <f>"20228012808"</f>
        <v>20228012808</v>
      </c>
      <c r="B821" s="4" t="str">
        <f t="shared" si="13"/>
        <v>20220302</v>
      </c>
      <c r="C821" s="5">
        <v>0</v>
      </c>
      <c r="D821" s="5">
        <v>0</v>
      </c>
      <c r="E821" s="5">
        <v>0</v>
      </c>
    </row>
    <row r="822" spans="1:5">
      <c r="A822" s="4" t="str">
        <f>"20228012809"</f>
        <v>20228012809</v>
      </c>
      <c r="B822" s="4" t="str">
        <f t="shared" si="13"/>
        <v>20220302</v>
      </c>
      <c r="C822" s="5">
        <v>89.5</v>
      </c>
      <c r="D822" s="5">
        <v>87.9</v>
      </c>
      <c r="E822" s="5">
        <v>88.54</v>
      </c>
    </row>
    <row r="823" spans="1:5">
      <c r="A823" s="4" t="str">
        <f>"20228012810"</f>
        <v>20228012810</v>
      </c>
      <c r="B823" s="4" t="str">
        <f t="shared" si="13"/>
        <v>20220302</v>
      </c>
      <c r="C823" s="5">
        <v>91.7</v>
      </c>
      <c r="D823" s="5">
        <v>83.7</v>
      </c>
      <c r="E823" s="5">
        <v>86.9</v>
      </c>
    </row>
    <row r="824" spans="1:5">
      <c r="A824" s="4" t="str">
        <f>"20228012811"</f>
        <v>20228012811</v>
      </c>
      <c r="B824" s="4" t="str">
        <f t="shared" si="13"/>
        <v>20220302</v>
      </c>
      <c r="C824" s="5">
        <v>0</v>
      </c>
      <c r="D824" s="5">
        <v>0</v>
      </c>
      <c r="E824" s="5">
        <v>0</v>
      </c>
    </row>
    <row r="825" spans="1:5">
      <c r="A825" s="4" t="str">
        <f>"20228012812"</f>
        <v>20228012812</v>
      </c>
      <c r="B825" s="4" t="str">
        <f t="shared" si="13"/>
        <v>20220302</v>
      </c>
      <c r="C825" s="5">
        <v>97.2</v>
      </c>
      <c r="D825" s="5">
        <v>78.8</v>
      </c>
      <c r="E825" s="5">
        <v>86.16</v>
      </c>
    </row>
    <row r="826" spans="1:5">
      <c r="A826" s="4" t="str">
        <f>"20228012813"</f>
        <v>20228012813</v>
      </c>
      <c r="B826" s="4" t="str">
        <f t="shared" si="13"/>
        <v>20220302</v>
      </c>
      <c r="C826" s="5">
        <v>93.8</v>
      </c>
      <c r="D826" s="5">
        <v>85.9</v>
      </c>
      <c r="E826" s="5">
        <v>89.06</v>
      </c>
    </row>
    <row r="827" spans="1:5">
      <c r="A827" s="4" t="str">
        <f>"20228012814"</f>
        <v>20228012814</v>
      </c>
      <c r="B827" s="4" t="str">
        <f t="shared" si="13"/>
        <v>20220302</v>
      </c>
      <c r="C827" s="5">
        <v>91.1</v>
      </c>
      <c r="D827" s="5">
        <v>88.3</v>
      </c>
      <c r="E827" s="5">
        <v>89.42</v>
      </c>
    </row>
    <row r="828" spans="1:5">
      <c r="A828" s="4" t="str">
        <f>"20228012815"</f>
        <v>20228012815</v>
      </c>
      <c r="B828" s="4" t="str">
        <f t="shared" si="13"/>
        <v>20220302</v>
      </c>
      <c r="C828" s="5">
        <v>0</v>
      </c>
      <c r="D828" s="5">
        <v>0</v>
      </c>
      <c r="E828" s="5">
        <v>0</v>
      </c>
    </row>
    <row r="829" spans="1:5">
      <c r="A829" s="4" t="str">
        <f>"20228012816"</f>
        <v>20228012816</v>
      </c>
      <c r="B829" s="4" t="str">
        <f t="shared" si="13"/>
        <v>20220302</v>
      </c>
      <c r="C829" s="5">
        <v>0</v>
      </c>
      <c r="D829" s="5">
        <v>0</v>
      </c>
      <c r="E829" s="5">
        <v>0</v>
      </c>
    </row>
    <row r="830" spans="1:5">
      <c r="A830" s="4" t="str">
        <f>"20228012817"</f>
        <v>20228012817</v>
      </c>
      <c r="B830" s="4" t="str">
        <f t="shared" si="13"/>
        <v>20220302</v>
      </c>
      <c r="C830" s="5">
        <v>74</v>
      </c>
      <c r="D830" s="5">
        <v>81.3</v>
      </c>
      <c r="E830" s="5">
        <v>78.38</v>
      </c>
    </row>
    <row r="831" spans="1:5">
      <c r="A831" s="4" t="str">
        <f>"20228012818"</f>
        <v>20228012818</v>
      </c>
      <c r="B831" s="4" t="str">
        <f t="shared" si="13"/>
        <v>20220302</v>
      </c>
      <c r="C831" s="5">
        <v>84.9</v>
      </c>
      <c r="D831" s="5">
        <v>71.8</v>
      </c>
      <c r="E831" s="5">
        <v>77.04</v>
      </c>
    </row>
    <row r="832" spans="1:5">
      <c r="A832" s="4" t="str">
        <f>"20228012819"</f>
        <v>20228012819</v>
      </c>
      <c r="B832" s="4" t="str">
        <f t="shared" si="13"/>
        <v>20220302</v>
      </c>
      <c r="C832" s="5">
        <v>98.7</v>
      </c>
      <c r="D832" s="5">
        <v>82.9</v>
      </c>
      <c r="E832" s="5">
        <v>89.22</v>
      </c>
    </row>
    <row r="833" spans="1:5">
      <c r="A833" s="4" t="str">
        <f>"20228012820"</f>
        <v>20228012820</v>
      </c>
      <c r="B833" s="4" t="str">
        <f t="shared" si="13"/>
        <v>20220302</v>
      </c>
      <c r="C833" s="5">
        <v>89.2</v>
      </c>
      <c r="D833" s="5">
        <v>80.5</v>
      </c>
      <c r="E833" s="5">
        <v>83.98</v>
      </c>
    </row>
    <row r="834" spans="1:5">
      <c r="A834" s="4" t="str">
        <f>"20228012821"</f>
        <v>20228012821</v>
      </c>
      <c r="B834" s="4" t="str">
        <f t="shared" si="13"/>
        <v>20220302</v>
      </c>
      <c r="C834" s="5">
        <v>0</v>
      </c>
      <c r="D834" s="5">
        <v>0</v>
      </c>
      <c r="E834" s="5">
        <v>0</v>
      </c>
    </row>
    <row r="835" spans="1:5">
      <c r="A835" s="4" t="str">
        <f>"20228012822"</f>
        <v>20228012822</v>
      </c>
      <c r="B835" s="4" t="str">
        <f t="shared" si="13"/>
        <v>20220302</v>
      </c>
      <c r="C835" s="5">
        <v>106.7</v>
      </c>
      <c r="D835" s="5">
        <v>90.6</v>
      </c>
      <c r="E835" s="5">
        <v>97.04</v>
      </c>
    </row>
    <row r="836" spans="1:5">
      <c r="A836" s="4" t="str">
        <f>"20228012823"</f>
        <v>20228012823</v>
      </c>
      <c r="B836" s="4" t="str">
        <f t="shared" si="13"/>
        <v>20220302</v>
      </c>
      <c r="C836" s="5">
        <v>0</v>
      </c>
      <c r="D836" s="5">
        <v>0</v>
      </c>
      <c r="E836" s="5">
        <v>0</v>
      </c>
    </row>
    <row r="837" spans="1:5">
      <c r="A837" s="4" t="str">
        <f>"20228012824"</f>
        <v>20228012824</v>
      </c>
      <c r="B837" s="4" t="str">
        <f t="shared" si="13"/>
        <v>20220302</v>
      </c>
      <c r="C837" s="5">
        <v>93.5</v>
      </c>
      <c r="D837" s="5">
        <v>82.5</v>
      </c>
      <c r="E837" s="5">
        <v>86.9</v>
      </c>
    </row>
    <row r="838" spans="1:5">
      <c r="A838" s="4" t="str">
        <f>"20228012825"</f>
        <v>20228012825</v>
      </c>
      <c r="B838" s="4" t="str">
        <f t="shared" si="13"/>
        <v>20220302</v>
      </c>
      <c r="C838" s="5">
        <v>0</v>
      </c>
      <c r="D838" s="5">
        <v>0</v>
      </c>
      <c r="E838" s="5">
        <v>0</v>
      </c>
    </row>
    <row r="839" spans="1:5">
      <c r="A839" s="4" t="str">
        <f>"20228012826"</f>
        <v>20228012826</v>
      </c>
      <c r="B839" s="4" t="str">
        <f t="shared" si="13"/>
        <v>20220302</v>
      </c>
      <c r="C839" s="5">
        <v>0</v>
      </c>
      <c r="D839" s="5">
        <v>0</v>
      </c>
      <c r="E839" s="5">
        <v>0</v>
      </c>
    </row>
    <row r="840" spans="1:5">
      <c r="A840" s="4" t="str">
        <f>"20228012827"</f>
        <v>20228012827</v>
      </c>
      <c r="B840" s="4" t="str">
        <f t="shared" si="13"/>
        <v>20220302</v>
      </c>
      <c r="C840" s="5">
        <v>90.7</v>
      </c>
      <c r="D840" s="5">
        <v>89.2</v>
      </c>
      <c r="E840" s="5">
        <v>89.8</v>
      </c>
    </row>
    <row r="841" spans="1:5">
      <c r="A841" s="4" t="str">
        <f>"20228012828"</f>
        <v>20228012828</v>
      </c>
      <c r="B841" s="4" t="str">
        <f t="shared" si="13"/>
        <v>20220302</v>
      </c>
      <c r="C841" s="5">
        <v>0</v>
      </c>
      <c r="D841" s="5">
        <v>0</v>
      </c>
      <c r="E841" s="5">
        <v>0</v>
      </c>
    </row>
    <row r="842" spans="1:5">
      <c r="A842" s="4" t="str">
        <f>"20228012829"</f>
        <v>20228012829</v>
      </c>
      <c r="B842" s="4" t="str">
        <f t="shared" si="13"/>
        <v>20220302</v>
      </c>
      <c r="C842" s="5">
        <v>0</v>
      </c>
      <c r="D842" s="5">
        <v>0</v>
      </c>
      <c r="E842" s="5">
        <v>0</v>
      </c>
    </row>
    <row r="843" spans="1:5">
      <c r="A843" s="4" t="str">
        <f>"20228012830"</f>
        <v>20228012830</v>
      </c>
      <c r="B843" s="4" t="str">
        <f t="shared" si="13"/>
        <v>20220302</v>
      </c>
      <c r="C843" s="5">
        <v>0</v>
      </c>
      <c r="D843" s="5">
        <v>0</v>
      </c>
      <c r="E843" s="5">
        <v>0</v>
      </c>
    </row>
    <row r="844" spans="1:5">
      <c r="A844" s="4" t="str">
        <f>"20228012901"</f>
        <v>20228012901</v>
      </c>
      <c r="B844" s="4" t="str">
        <f t="shared" si="13"/>
        <v>20220302</v>
      </c>
      <c r="C844" s="5">
        <v>95.6</v>
      </c>
      <c r="D844" s="5">
        <v>91</v>
      </c>
      <c r="E844" s="5">
        <v>92.84</v>
      </c>
    </row>
    <row r="845" spans="1:5">
      <c r="A845" s="4" t="str">
        <f>"20228012902"</f>
        <v>20228012902</v>
      </c>
      <c r="B845" s="4" t="str">
        <f t="shared" si="13"/>
        <v>20220302</v>
      </c>
      <c r="C845" s="5">
        <v>0</v>
      </c>
      <c r="D845" s="5">
        <v>0</v>
      </c>
      <c r="E845" s="5">
        <v>0</v>
      </c>
    </row>
    <row r="846" spans="1:5">
      <c r="A846" s="4" t="str">
        <f>"20228012903"</f>
        <v>20228012903</v>
      </c>
      <c r="B846" s="4" t="str">
        <f t="shared" si="13"/>
        <v>20220302</v>
      </c>
      <c r="C846" s="5">
        <v>78.5</v>
      </c>
      <c r="D846" s="5">
        <v>78.1</v>
      </c>
      <c r="E846" s="5">
        <v>78.26</v>
      </c>
    </row>
    <row r="847" spans="1:5">
      <c r="A847" s="4" t="str">
        <f>"20228012904"</f>
        <v>20228012904</v>
      </c>
      <c r="B847" s="4" t="str">
        <f t="shared" si="13"/>
        <v>20220302</v>
      </c>
      <c r="C847" s="5">
        <v>102.5</v>
      </c>
      <c r="D847" s="5">
        <v>92.4</v>
      </c>
      <c r="E847" s="5">
        <v>96.44</v>
      </c>
    </row>
    <row r="848" spans="1:5">
      <c r="A848" s="4" t="str">
        <f>"20228012905"</f>
        <v>20228012905</v>
      </c>
      <c r="B848" s="4" t="str">
        <f t="shared" si="13"/>
        <v>20220302</v>
      </c>
      <c r="C848" s="5">
        <v>76</v>
      </c>
      <c r="D848" s="5">
        <v>78.1</v>
      </c>
      <c r="E848" s="5">
        <v>77.26</v>
      </c>
    </row>
    <row r="849" spans="1:5">
      <c r="A849" s="4" t="str">
        <f>"20228012906"</f>
        <v>20228012906</v>
      </c>
      <c r="B849" s="4" t="str">
        <f t="shared" si="13"/>
        <v>20220302</v>
      </c>
      <c r="C849" s="5">
        <v>96.4</v>
      </c>
      <c r="D849" s="5">
        <v>82</v>
      </c>
      <c r="E849" s="5">
        <v>87.76</v>
      </c>
    </row>
    <row r="850" spans="1:5">
      <c r="A850" s="4" t="str">
        <f>"20228012907"</f>
        <v>20228012907</v>
      </c>
      <c r="B850" s="4" t="str">
        <f t="shared" si="13"/>
        <v>20220302</v>
      </c>
      <c r="C850" s="5">
        <v>90.8</v>
      </c>
      <c r="D850" s="5">
        <v>84.8</v>
      </c>
      <c r="E850" s="5">
        <v>87.2</v>
      </c>
    </row>
    <row r="851" spans="1:5">
      <c r="A851" s="4" t="str">
        <f>"20228012908"</f>
        <v>20228012908</v>
      </c>
      <c r="B851" s="4" t="str">
        <f t="shared" si="13"/>
        <v>20220302</v>
      </c>
      <c r="C851" s="5">
        <v>89.7</v>
      </c>
      <c r="D851" s="5">
        <v>87</v>
      </c>
      <c r="E851" s="5">
        <v>88.08</v>
      </c>
    </row>
    <row r="852" spans="1:5">
      <c r="A852" s="4" t="str">
        <f>"20228012909"</f>
        <v>20228012909</v>
      </c>
      <c r="B852" s="4" t="str">
        <f t="shared" si="13"/>
        <v>20220302</v>
      </c>
      <c r="C852" s="5">
        <v>94.1</v>
      </c>
      <c r="D852" s="5">
        <v>88.5</v>
      </c>
      <c r="E852" s="5">
        <v>90.74</v>
      </c>
    </row>
    <row r="853" spans="1:5">
      <c r="A853" s="4" t="str">
        <f>"20228012910"</f>
        <v>20228012910</v>
      </c>
      <c r="B853" s="4" t="str">
        <f t="shared" si="13"/>
        <v>20220302</v>
      </c>
      <c r="C853" s="5">
        <v>0</v>
      </c>
      <c r="D853" s="5">
        <v>0</v>
      </c>
      <c r="E853" s="5">
        <v>0</v>
      </c>
    </row>
    <row r="854" spans="1:5">
      <c r="A854" s="4" t="str">
        <f>"20228012911"</f>
        <v>20228012911</v>
      </c>
      <c r="B854" s="4" t="str">
        <f t="shared" si="13"/>
        <v>20220302</v>
      </c>
      <c r="C854" s="5">
        <v>93.3</v>
      </c>
      <c r="D854" s="5">
        <v>90.1</v>
      </c>
      <c r="E854" s="5">
        <v>91.38</v>
      </c>
    </row>
    <row r="855" spans="1:5">
      <c r="A855" s="4" t="str">
        <f>"20228012912"</f>
        <v>20228012912</v>
      </c>
      <c r="B855" s="4" t="str">
        <f t="shared" si="13"/>
        <v>20220302</v>
      </c>
      <c r="C855" s="5">
        <v>88</v>
      </c>
      <c r="D855" s="5">
        <v>80.9</v>
      </c>
      <c r="E855" s="5">
        <v>83.74</v>
      </c>
    </row>
    <row r="856" spans="1:5">
      <c r="A856" s="4" t="str">
        <f>"20228012913"</f>
        <v>20228012913</v>
      </c>
      <c r="B856" s="4" t="str">
        <f t="shared" si="13"/>
        <v>20220302</v>
      </c>
      <c r="C856" s="5">
        <v>0</v>
      </c>
      <c r="D856" s="5">
        <v>0</v>
      </c>
      <c r="E856" s="5">
        <v>0</v>
      </c>
    </row>
    <row r="857" spans="1:5">
      <c r="A857" s="4" t="str">
        <f>"20228012914"</f>
        <v>20228012914</v>
      </c>
      <c r="B857" s="4" t="str">
        <f t="shared" si="13"/>
        <v>20220302</v>
      </c>
      <c r="C857" s="5">
        <v>0</v>
      </c>
      <c r="D857" s="5">
        <v>0</v>
      </c>
      <c r="E857" s="5">
        <v>0</v>
      </c>
    </row>
    <row r="858" spans="1:5">
      <c r="A858" s="4" t="str">
        <f>"20228012915"</f>
        <v>20228012915</v>
      </c>
      <c r="B858" s="4" t="str">
        <f t="shared" si="13"/>
        <v>20220302</v>
      </c>
      <c r="C858" s="5">
        <v>78.5</v>
      </c>
      <c r="D858" s="5">
        <v>83.2</v>
      </c>
      <c r="E858" s="5">
        <v>81.32</v>
      </c>
    </row>
    <row r="859" spans="1:5">
      <c r="A859" s="4" t="str">
        <f>"20228012916"</f>
        <v>20228012916</v>
      </c>
      <c r="B859" s="4" t="str">
        <f t="shared" si="13"/>
        <v>20220302</v>
      </c>
      <c r="C859" s="5">
        <v>81.7</v>
      </c>
      <c r="D859" s="5">
        <v>79.5</v>
      </c>
      <c r="E859" s="5">
        <v>80.38</v>
      </c>
    </row>
    <row r="860" spans="1:5">
      <c r="A860" s="4" t="str">
        <f>"20228012917"</f>
        <v>20228012917</v>
      </c>
      <c r="B860" s="4" t="str">
        <f t="shared" si="13"/>
        <v>20220302</v>
      </c>
      <c r="C860" s="5">
        <v>78.4</v>
      </c>
      <c r="D860" s="5">
        <v>82.6</v>
      </c>
      <c r="E860" s="5">
        <v>80.92</v>
      </c>
    </row>
    <row r="861" spans="1:5">
      <c r="A861" s="4" t="str">
        <f>"20228012918"</f>
        <v>20228012918</v>
      </c>
      <c r="B861" s="4" t="str">
        <f t="shared" si="13"/>
        <v>20220302</v>
      </c>
      <c r="C861" s="5">
        <v>0</v>
      </c>
      <c r="D861" s="5">
        <v>0</v>
      </c>
      <c r="E861" s="5">
        <v>0</v>
      </c>
    </row>
    <row r="862" spans="1:5">
      <c r="A862" s="4" t="str">
        <f>"20228012919"</f>
        <v>20228012919</v>
      </c>
      <c r="B862" s="4" t="str">
        <f t="shared" si="13"/>
        <v>20220302</v>
      </c>
      <c r="C862" s="5">
        <v>87.5</v>
      </c>
      <c r="D862" s="5">
        <v>84.8</v>
      </c>
      <c r="E862" s="5">
        <v>85.88</v>
      </c>
    </row>
    <row r="863" spans="1:5">
      <c r="A863" s="4" t="str">
        <f>"20228012920"</f>
        <v>20228012920</v>
      </c>
      <c r="B863" s="4" t="str">
        <f t="shared" si="13"/>
        <v>20220302</v>
      </c>
      <c r="C863" s="5">
        <v>81.9</v>
      </c>
      <c r="D863" s="5">
        <v>83.4</v>
      </c>
      <c r="E863" s="5">
        <v>82.8</v>
      </c>
    </row>
    <row r="864" spans="1:5">
      <c r="A864" s="4" t="str">
        <f>"20228012921"</f>
        <v>20228012921</v>
      </c>
      <c r="B864" s="4" t="str">
        <f t="shared" si="13"/>
        <v>20220302</v>
      </c>
      <c r="C864" s="5">
        <v>0</v>
      </c>
      <c r="D864" s="5">
        <v>0</v>
      </c>
      <c r="E864" s="5">
        <v>0</v>
      </c>
    </row>
    <row r="865" spans="1:5">
      <c r="A865" s="4" t="str">
        <f>"20228012922"</f>
        <v>20228012922</v>
      </c>
      <c r="B865" s="4" t="str">
        <f t="shared" si="13"/>
        <v>20220302</v>
      </c>
      <c r="C865" s="5">
        <v>94.4</v>
      </c>
      <c r="D865" s="5">
        <v>90.4</v>
      </c>
      <c r="E865" s="5">
        <v>92</v>
      </c>
    </row>
    <row r="866" spans="1:5">
      <c r="A866" s="4" t="str">
        <f>"20228012923"</f>
        <v>20228012923</v>
      </c>
      <c r="B866" s="4" t="str">
        <f t="shared" si="13"/>
        <v>20220302</v>
      </c>
      <c r="C866" s="5">
        <v>0</v>
      </c>
      <c r="D866" s="5">
        <v>0</v>
      </c>
      <c r="E866" s="5">
        <v>0</v>
      </c>
    </row>
    <row r="867" spans="1:5">
      <c r="A867" s="4" t="str">
        <f>"20228012924"</f>
        <v>20228012924</v>
      </c>
      <c r="B867" s="4" t="str">
        <f t="shared" si="13"/>
        <v>20220302</v>
      </c>
      <c r="C867" s="5">
        <v>0</v>
      </c>
      <c r="D867" s="5">
        <v>0</v>
      </c>
      <c r="E867" s="5">
        <v>0</v>
      </c>
    </row>
    <row r="868" spans="1:5">
      <c r="A868" s="4" t="str">
        <f>"20228012925"</f>
        <v>20228012925</v>
      </c>
      <c r="B868" s="4" t="str">
        <f t="shared" si="13"/>
        <v>20220302</v>
      </c>
      <c r="C868" s="5">
        <v>85.2</v>
      </c>
      <c r="D868" s="5">
        <v>87</v>
      </c>
      <c r="E868" s="5">
        <v>86.28</v>
      </c>
    </row>
    <row r="869" spans="1:5">
      <c r="A869" s="4" t="str">
        <f>"20228012926"</f>
        <v>20228012926</v>
      </c>
      <c r="B869" s="4" t="str">
        <f t="shared" si="13"/>
        <v>20220302</v>
      </c>
      <c r="C869" s="5">
        <v>85.2</v>
      </c>
      <c r="D869" s="5">
        <v>87.1</v>
      </c>
      <c r="E869" s="5">
        <v>86.34</v>
      </c>
    </row>
    <row r="870" spans="1:5">
      <c r="A870" s="4" t="str">
        <f>"20228012927"</f>
        <v>20228012927</v>
      </c>
      <c r="B870" s="4" t="str">
        <f t="shared" si="13"/>
        <v>20220302</v>
      </c>
      <c r="C870" s="5">
        <v>84.6</v>
      </c>
      <c r="D870" s="5">
        <v>74</v>
      </c>
      <c r="E870" s="5">
        <v>78.24</v>
      </c>
    </row>
    <row r="871" spans="1:5">
      <c r="A871" s="4" t="str">
        <f>"20228012928"</f>
        <v>20228012928</v>
      </c>
      <c r="B871" s="4" t="str">
        <f t="shared" si="13"/>
        <v>20220302</v>
      </c>
      <c r="C871" s="5">
        <v>0</v>
      </c>
      <c r="D871" s="5">
        <v>0</v>
      </c>
      <c r="E871" s="5">
        <v>0</v>
      </c>
    </row>
    <row r="872" spans="1:5">
      <c r="A872" s="4" t="str">
        <f>"20228012929"</f>
        <v>20228012929</v>
      </c>
      <c r="B872" s="4" t="str">
        <f t="shared" si="13"/>
        <v>20220302</v>
      </c>
      <c r="C872" s="5">
        <v>88.1</v>
      </c>
      <c r="D872" s="5">
        <v>88</v>
      </c>
      <c r="E872" s="5">
        <v>88.04</v>
      </c>
    </row>
    <row r="873" spans="1:5">
      <c r="A873" s="4" t="str">
        <f>"20228012930"</f>
        <v>20228012930</v>
      </c>
      <c r="B873" s="4" t="str">
        <f t="shared" si="13"/>
        <v>20220302</v>
      </c>
      <c r="C873" s="5">
        <v>92.9</v>
      </c>
      <c r="D873" s="5">
        <v>82.3</v>
      </c>
      <c r="E873" s="5">
        <v>86.54</v>
      </c>
    </row>
    <row r="874" spans="1:5">
      <c r="A874" s="4" t="str">
        <f>"20228013001"</f>
        <v>20228013001</v>
      </c>
      <c r="B874" s="4" t="str">
        <f t="shared" si="13"/>
        <v>20220302</v>
      </c>
      <c r="C874" s="5">
        <v>97.5</v>
      </c>
      <c r="D874" s="5">
        <v>89.3</v>
      </c>
      <c r="E874" s="5">
        <v>92.58</v>
      </c>
    </row>
    <row r="875" spans="1:5">
      <c r="A875" s="4" t="str">
        <f>"20228013002"</f>
        <v>20228013002</v>
      </c>
      <c r="B875" s="4" t="str">
        <f t="shared" si="13"/>
        <v>20220302</v>
      </c>
      <c r="C875" s="5">
        <v>92.2</v>
      </c>
      <c r="D875" s="5">
        <v>88.9</v>
      </c>
      <c r="E875" s="5">
        <v>90.22</v>
      </c>
    </row>
    <row r="876" spans="1:5">
      <c r="A876" s="4" t="str">
        <f>"20228013003"</f>
        <v>20228013003</v>
      </c>
      <c r="B876" s="4" t="str">
        <f t="shared" si="13"/>
        <v>20220302</v>
      </c>
      <c r="C876" s="5">
        <v>92.9</v>
      </c>
      <c r="D876" s="5">
        <v>87.6</v>
      </c>
      <c r="E876" s="5">
        <v>89.72</v>
      </c>
    </row>
    <row r="877" spans="1:5">
      <c r="A877" s="4" t="str">
        <f>"20228013004"</f>
        <v>20228013004</v>
      </c>
      <c r="B877" s="4" t="str">
        <f t="shared" si="13"/>
        <v>20220302</v>
      </c>
      <c r="C877" s="5">
        <v>88</v>
      </c>
      <c r="D877" s="5">
        <v>79.7</v>
      </c>
      <c r="E877" s="5">
        <v>83.02</v>
      </c>
    </row>
    <row r="878" spans="1:5">
      <c r="A878" s="4" t="str">
        <f>"20228013005"</f>
        <v>20228013005</v>
      </c>
      <c r="B878" s="4" t="str">
        <f t="shared" si="13"/>
        <v>20220302</v>
      </c>
      <c r="C878" s="5">
        <v>0</v>
      </c>
      <c r="D878" s="5">
        <v>0</v>
      </c>
      <c r="E878" s="5">
        <v>0</v>
      </c>
    </row>
    <row r="879" spans="1:5">
      <c r="A879" s="4" t="str">
        <f>"20228013006"</f>
        <v>20228013006</v>
      </c>
      <c r="B879" s="4" t="str">
        <f t="shared" si="13"/>
        <v>20220302</v>
      </c>
      <c r="C879" s="5">
        <v>97.1</v>
      </c>
      <c r="D879" s="5">
        <v>73.1</v>
      </c>
      <c r="E879" s="5">
        <v>82.7</v>
      </c>
    </row>
    <row r="880" spans="1:5">
      <c r="A880" s="4" t="str">
        <f>"20228013007"</f>
        <v>20228013007</v>
      </c>
      <c r="B880" s="4" t="str">
        <f t="shared" si="13"/>
        <v>20220302</v>
      </c>
      <c r="C880" s="5">
        <v>107.2</v>
      </c>
      <c r="D880" s="5">
        <v>94.3</v>
      </c>
      <c r="E880" s="5">
        <v>99.46</v>
      </c>
    </row>
    <row r="881" spans="1:5">
      <c r="A881" s="4" t="str">
        <f>"20228013008"</f>
        <v>20228013008</v>
      </c>
      <c r="B881" s="4" t="str">
        <f t="shared" si="13"/>
        <v>20220302</v>
      </c>
      <c r="C881" s="5">
        <v>0</v>
      </c>
      <c r="D881" s="5">
        <v>0</v>
      </c>
      <c r="E881" s="5">
        <v>0</v>
      </c>
    </row>
    <row r="882" spans="1:5">
      <c r="A882" s="4" t="str">
        <f>"20228013009"</f>
        <v>20228013009</v>
      </c>
      <c r="B882" s="4" t="str">
        <f t="shared" si="13"/>
        <v>20220302</v>
      </c>
      <c r="C882" s="5">
        <v>0</v>
      </c>
      <c r="D882" s="5">
        <v>0</v>
      </c>
      <c r="E882" s="5">
        <v>0</v>
      </c>
    </row>
    <row r="883" spans="1:5">
      <c r="A883" s="4" t="str">
        <f>"20228013010"</f>
        <v>20228013010</v>
      </c>
      <c r="B883" s="4" t="str">
        <f t="shared" si="13"/>
        <v>20220302</v>
      </c>
      <c r="C883" s="5">
        <v>0</v>
      </c>
      <c r="D883" s="5">
        <v>0</v>
      </c>
      <c r="E883" s="5">
        <v>0</v>
      </c>
    </row>
    <row r="884" spans="1:5">
      <c r="A884" s="4" t="str">
        <f>"20228013011"</f>
        <v>20228013011</v>
      </c>
      <c r="B884" s="4" t="str">
        <f t="shared" ref="B884:B947" si="14">"20220302"</f>
        <v>20220302</v>
      </c>
      <c r="C884" s="5">
        <v>82.9</v>
      </c>
      <c r="D884" s="5">
        <v>78.2</v>
      </c>
      <c r="E884" s="5">
        <v>80.08</v>
      </c>
    </row>
    <row r="885" spans="1:5">
      <c r="A885" s="4" t="str">
        <f>"20228013012"</f>
        <v>20228013012</v>
      </c>
      <c r="B885" s="4" t="str">
        <f t="shared" si="14"/>
        <v>20220302</v>
      </c>
      <c r="C885" s="5">
        <v>0</v>
      </c>
      <c r="D885" s="5">
        <v>0</v>
      </c>
      <c r="E885" s="5">
        <v>0</v>
      </c>
    </row>
    <row r="886" spans="1:5">
      <c r="A886" s="4" t="str">
        <f>"20228013013"</f>
        <v>20228013013</v>
      </c>
      <c r="B886" s="4" t="str">
        <f t="shared" si="14"/>
        <v>20220302</v>
      </c>
      <c r="C886" s="5">
        <v>0</v>
      </c>
      <c r="D886" s="5">
        <v>0</v>
      </c>
      <c r="E886" s="5">
        <v>0</v>
      </c>
    </row>
    <row r="887" spans="1:5">
      <c r="A887" s="4" t="str">
        <f>"20228013014"</f>
        <v>20228013014</v>
      </c>
      <c r="B887" s="4" t="str">
        <f t="shared" si="14"/>
        <v>20220302</v>
      </c>
      <c r="C887" s="5">
        <v>102.9</v>
      </c>
      <c r="D887" s="5">
        <v>86.6</v>
      </c>
      <c r="E887" s="5">
        <v>93.12</v>
      </c>
    </row>
    <row r="888" spans="1:5">
      <c r="A888" s="4" t="str">
        <f>"20228013015"</f>
        <v>20228013015</v>
      </c>
      <c r="B888" s="4" t="str">
        <f t="shared" si="14"/>
        <v>20220302</v>
      </c>
      <c r="C888" s="5">
        <v>0</v>
      </c>
      <c r="D888" s="5">
        <v>0</v>
      </c>
      <c r="E888" s="5">
        <v>0</v>
      </c>
    </row>
    <row r="889" spans="1:5">
      <c r="A889" s="4" t="str">
        <f>"20228013016"</f>
        <v>20228013016</v>
      </c>
      <c r="B889" s="4" t="str">
        <f t="shared" si="14"/>
        <v>20220302</v>
      </c>
      <c r="C889" s="5">
        <v>95.2</v>
      </c>
      <c r="D889" s="5">
        <v>93.6</v>
      </c>
      <c r="E889" s="5">
        <v>94.24</v>
      </c>
    </row>
    <row r="890" spans="1:5">
      <c r="A890" s="4" t="str">
        <f>"20228013017"</f>
        <v>20228013017</v>
      </c>
      <c r="B890" s="4" t="str">
        <f t="shared" si="14"/>
        <v>20220302</v>
      </c>
      <c r="C890" s="5">
        <v>92.2</v>
      </c>
      <c r="D890" s="5">
        <v>86.4</v>
      </c>
      <c r="E890" s="5">
        <v>88.72</v>
      </c>
    </row>
    <row r="891" spans="1:5">
      <c r="A891" s="4" t="str">
        <f>"20228013018"</f>
        <v>20228013018</v>
      </c>
      <c r="B891" s="4" t="str">
        <f t="shared" si="14"/>
        <v>20220302</v>
      </c>
      <c r="C891" s="5">
        <v>0</v>
      </c>
      <c r="D891" s="5">
        <v>0</v>
      </c>
      <c r="E891" s="5">
        <v>0</v>
      </c>
    </row>
    <row r="892" spans="1:5">
      <c r="A892" s="4" t="str">
        <f>"20228013019"</f>
        <v>20228013019</v>
      </c>
      <c r="B892" s="4" t="str">
        <f t="shared" si="14"/>
        <v>20220302</v>
      </c>
      <c r="C892" s="5">
        <v>0</v>
      </c>
      <c r="D892" s="5">
        <v>0</v>
      </c>
      <c r="E892" s="5">
        <v>0</v>
      </c>
    </row>
    <row r="893" spans="1:5">
      <c r="A893" s="4" t="str">
        <f>"20228013020"</f>
        <v>20228013020</v>
      </c>
      <c r="B893" s="4" t="str">
        <f t="shared" si="14"/>
        <v>20220302</v>
      </c>
      <c r="C893" s="5">
        <v>0</v>
      </c>
      <c r="D893" s="5">
        <v>0</v>
      </c>
      <c r="E893" s="5">
        <v>0</v>
      </c>
    </row>
    <row r="894" spans="1:5">
      <c r="A894" s="4" t="str">
        <f>"20228013021"</f>
        <v>20228013021</v>
      </c>
      <c r="B894" s="4" t="str">
        <f t="shared" si="14"/>
        <v>20220302</v>
      </c>
      <c r="C894" s="5">
        <v>0</v>
      </c>
      <c r="D894" s="5">
        <v>0</v>
      </c>
      <c r="E894" s="5">
        <v>0</v>
      </c>
    </row>
    <row r="895" spans="1:5">
      <c r="A895" s="4" t="str">
        <f>"20228013022"</f>
        <v>20228013022</v>
      </c>
      <c r="B895" s="4" t="str">
        <f t="shared" si="14"/>
        <v>20220302</v>
      </c>
      <c r="C895" s="5">
        <v>95.1</v>
      </c>
      <c r="D895" s="5">
        <v>81.9</v>
      </c>
      <c r="E895" s="5">
        <v>87.18</v>
      </c>
    </row>
    <row r="896" spans="1:5">
      <c r="A896" s="4" t="str">
        <f>"20228013023"</f>
        <v>20228013023</v>
      </c>
      <c r="B896" s="4" t="str">
        <f t="shared" si="14"/>
        <v>20220302</v>
      </c>
      <c r="C896" s="5">
        <v>98.6</v>
      </c>
      <c r="D896" s="5">
        <v>87.9</v>
      </c>
      <c r="E896" s="5">
        <v>92.18</v>
      </c>
    </row>
    <row r="897" spans="1:5">
      <c r="A897" s="4" t="str">
        <f>"20228013024"</f>
        <v>20228013024</v>
      </c>
      <c r="B897" s="4" t="str">
        <f t="shared" si="14"/>
        <v>20220302</v>
      </c>
      <c r="C897" s="5">
        <v>98.4</v>
      </c>
      <c r="D897" s="5">
        <v>89.1</v>
      </c>
      <c r="E897" s="5">
        <v>92.82</v>
      </c>
    </row>
    <row r="898" spans="1:5">
      <c r="A898" s="4" t="str">
        <f>"20228013025"</f>
        <v>20228013025</v>
      </c>
      <c r="B898" s="4" t="str">
        <f t="shared" si="14"/>
        <v>20220302</v>
      </c>
      <c r="C898" s="5">
        <v>92</v>
      </c>
      <c r="D898" s="5">
        <v>84.7</v>
      </c>
      <c r="E898" s="5">
        <v>87.62</v>
      </c>
    </row>
    <row r="899" spans="1:5">
      <c r="A899" s="4" t="str">
        <f>"20228013026"</f>
        <v>20228013026</v>
      </c>
      <c r="B899" s="4" t="str">
        <f t="shared" si="14"/>
        <v>20220302</v>
      </c>
      <c r="C899" s="5">
        <v>0</v>
      </c>
      <c r="D899" s="5">
        <v>0</v>
      </c>
      <c r="E899" s="5">
        <v>0</v>
      </c>
    </row>
    <row r="900" spans="1:5">
      <c r="A900" s="4" t="str">
        <f>"20228013027"</f>
        <v>20228013027</v>
      </c>
      <c r="B900" s="4" t="str">
        <f t="shared" si="14"/>
        <v>20220302</v>
      </c>
      <c r="C900" s="5">
        <v>0</v>
      </c>
      <c r="D900" s="5">
        <v>0</v>
      </c>
      <c r="E900" s="5">
        <v>0</v>
      </c>
    </row>
    <row r="901" spans="1:5">
      <c r="A901" s="4" t="str">
        <f>"20228013028"</f>
        <v>20228013028</v>
      </c>
      <c r="B901" s="4" t="str">
        <f t="shared" si="14"/>
        <v>20220302</v>
      </c>
      <c r="C901" s="5">
        <v>91.1</v>
      </c>
      <c r="D901" s="5">
        <v>90.4</v>
      </c>
      <c r="E901" s="5">
        <v>90.68</v>
      </c>
    </row>
    <row r="902" spans="1:5">
      <c r="A902" s="4" t="str">
        <f>"20228013029"</f>
        <v>20228013029</v>
      </c>
      <c r="B902" s="4" t="str">
        <f t="shared" si="14"/>
        <v>20220302</v>
      </c>
      <c r="C902" s="5">
        <v>91.6</v>
      </c>
      <c r="D902" s="5">
        <v>88.8</v>
      </c>
      <c r="E902" s="5">
        <v>89.92</v>
      </c>
    </row>
    <row r="903" spans="1:5">
      <c r="A903" s="4" t="str">
        <f>"20228013030"</f>
        <v>20228013030</v>
      </c>
      <c r="B903" s="4" t="str">
        <f t="shared" si="14"/>
        <v>20220302</v>
      </c>
      <c r="C903" s="5">
        <v>94.6</v>
      </c>
      <c r="D903" s="5">
        <v>78.5</v>
      </c>
      <c r="E903" s="5">
        <v>84.94</v>
      </c>
    </row>
    <row r="904" spans="1:5">
      <c r="A904" s="4" t="str">
        <f>"20228013101"</f>
        <v>20228013101</v>
      </c>
      <c r="B904" s="4" t="str">
        <f t="shared" si="14"/>
        <v>20220302</v>
      </c>
      <c r="C904" s="5">
        <v>103.1</v>
      </c>
      <c r="D904" s="5">
        <v>95.9</v>
      </c>
      <c r="E904" s="5">
        <v>98.78</v>
      </c>
    </row>
    <row r="905" spans="1:5">
      <c r="A905" s="4" t="str">
        <f>"20228013102"</f>
        <v>20228013102</v>
      </c>
      <c r="B905" s="4" t="str">
        <f t="shared" si="14"/>
        <v>20220302</v>
      </c>
      <c r="C905" s="5">
        <v>71</v>
      </c>
      <c r="D905" s="5">
        <v>73.9</v>
      </c>
      <c r="E905" s="5">
        <v>72.74</v>
      </c>
    </row>
    <row r="906" spans="1:5">
      <c r="A906" s="4" t="str">
        <f>"20228013103"</f>
        <v>20228013103</v>
      </c>
      <c r="B906" s="4" t="str">
        <f t="shared" si="14"/>
        <v>20220302</v>
      </c>
      <c r="C906" s="5">
        <v>85.7</v>
      </c>
      <c r="D906" s="5">
        <v>80.1</v>
      </c>
      <c r="E906" s="5">
        <v>82.34</v>
      </c>
    </row>
    <row r="907" spans="1:5">
      <c r="A907" s="4" t="str">
        <f>"20228013104"</f>
        <v>20228013104</v>
      </c>
      <c r="B907" s="4" t="str">
        <f t="shared" si="14"/>
        <v>20220302</v>
      </c>
      <c r="C907" s="5">
        <v>0</v>
      </c>
      <c r="D907" s="5">
        <v>0</v>
      </c>
      <c r="E907" s="5">
        <v>0</v>
      </c>
    </row>
    <row r="908" spans="1:5">
      <c r="A908" s="4" t="str">
        <f>"20228013105"</f>
        <v>20228013105</v>
      </c>
      <c r="B908" s="4" t="str">
        <f t="shared" si="14"/>
        <v>20220302</v>
      </c>
      <c r="C908" s="5">
        <v>0</v>
      </c>
      <c r="D908" s="5">
        <v>0</v>
      </c>
      <c r="E908" s="5">
        <v>0</v>
      </c>
    </row>
    <row r="909" spans="1:5">
      <c r="A909" s="4" t="str">
        <f>"20228013106"</f>
        <v>20228013106</v>
      </c>
      <c r="B909" s="4" t="str">
        <f t="shared" si="14"/>
        <v>20220302</v>
      </c>
      <c r="C909" s="5">
        <v>76</v>
      </c>
      <c r="D909" s="5">
        <v>83.2</v>
      </c>
      <c r="E909" s="5">
        <v>80.32</v>
      </c>
    </row>
    <row r="910" spans="1:5">
      <c r="A910" s="4" t="str">
        <f>"20228013107"</f>
        <v>20228013107</v>
      </c>
      <c r="B910" s="4" t="str">
        <f t="shared" si="14"/>
        <v>20220302</v>
      </c>
      <c r="C910" s="5">
        <v>0</v>
      </c>
      <c r="D910" s="5">
        <v>0</v>
      </c>
      <c r="E910" s="5">
        <v>0</v>
      </c>
    </row>
    <row r="911" spans="1:5">
      <c r="A911" s="4" t="str">
        <f>"20228013108"</f>
        <v>20228013108</v>
      </c>
      <c r="B911" s="4" t="str">
        <f t="shared" si="14"/>
        <v>20220302</v>
      </c>
      <c r="C911" s="5">
        <v>65.2</v>
      </c>
      <c r="D911" s="5">
        <v>71.4</v>
      </c>
      <c r="E911" s="5">
        <v>68.92</v>
      </c>
    </row>
    <row r="912" spans="1:5">
      <c r="A912" s="4" t="str">
        <f>"20228013109"</f>
        <v>20228013109</v>
      </c>
      <c r="B912" s="4" t="str">
        <f t="shared" si="14"/>
        <v>20220302</v>
      </c>
      <c r="C912" s="5">
        <v>91.6</v>
      </c>
      <c r="D912" s="5">
        <v>88.6</v>
      </c>
      <c r="E912" s="5">
        <v>89.8</v>
      </c>
    </row>
    <row r="913" spans="1:5">
      <c r="A913" s="4" t="str">
        <f>"20228013110"</f>
        <v>20228013110</v>
      </c>
      <c r="B913" s="4" t="str">
        <f t="shared" si="14"/>
        <v>20220302</v>
      </c>
      <c r="C913" s="5">
        <v>92</v>
      </c>
      <c r="D913" s="5">
        <v>82.1</v>
      </c>
      <c r="E913" s="5">
        <v>86.06</v>
      </c>
    </row>
    <row r="914" spans="1:5">
      <c r="A914" s="4" t="str">
        <f>"20228013111"</f>
        <v>20228013111</v>
      </c>
      <c r="B914" s="4" t="str">
        <f t="shared" si="14"/>
        <v>20220302</v>
      </c>
      <c r="C914" s="5">
        <v>88.2</v>
      </c>
      <c r="D914" s="5">
        <v>84.1</v>
      </c>
      <c r="E914" s="5">
        <v>85.74</v>
      </c>
    </row>
    <row r="915" spans="1:5">
      <c r="A915" s="4" t="str">
        <f>"20228013112"</f>
        <v>20228013112</v>
      </c>
      <c r="B915" s="4" t="str">
        <f t="shared" si="14"/>
        <v>20220302</v>
      </c>
      <c r="C915" s="5">
        <v>97</v>
      </c>
      <c r="D915" s="5">
        <v>77.1</v>
      </c>
      <c r="E915" s="5">
        <v>85.06</v>
      </c>
    </row>
    <row r="916" spans="1:5">
      <c r="A916" s="4" t="str">
        <f>"20228013113"</f>
        <v>20228013113</v>
      </c>
      <c r="B916" s="4" t="str">
        <f t="shared" si="14"/>
        <v>20220302</v>
      </c>
      <c r="C916" s="5">
        <v>0</v>
      </c>
      <c r="D916" s="5">
        <v>0</v>
      </c>
      <c r="E916" s="5">
        <v>0</v>
      </c>
    </row>
    <row r="917" spans="1:5">
      <c r="A917" s="4" t="str">
        <f>"20228013114"</f>
        <v>20228013114</v>
      </c>
      <c r="B917" s="4" t="str">
        <f t="shared" si="14"/>
        <v>20220302</v>
      </c>
      <c r="C917" s="5">
        <v>0</v>
      </c>
      <c r="D917" s="5">
        <v>0</v>
      </c>
      <c r="E917" s="5">
        <v>0</v>
      </c>
    </row>
    <row r="918" spans="1:5">
      <c r="A918" s="4" t="str">
        <f>"20228013115"</f>
        <v>20228013115</v>
      </c>
      <c r="B918" s="4" t="str">
        <f t="shared" si="14"/>
        <v>20220302</v>
      </c>
      <c r="C918" s="5">
        <v>0</v>
      </c>
      <c r="D918" s="5">
        <v>0</v>
      </c>
      <c r="E918" s="5">
        <v>0</v>
      </c>
    </row>
    <row r="919" spans="1:5">
      <c r="A919" s="4" t="str">
        <f>"20228013116"</f>
        <v>20228013116</v>
      </c>
      <c r="B919" s="4" t="str">
        <f t="shared" si="14"/>
        <v>20220302</v>
      </c>
      <c r="C919" s="5">
        <v>84.6</v>
      </c>
      <c r="D919" s="5">
        <v>68.1</v>
      </c>
      <c r="E919" s="5">
        <v>74.7</v>
      </c>
    </row>
    <row r="920" spans="1:5">
      <c r="A920" s="4" t="str">
        <f>"20228013117"</f>
        <v>20228013117</v>
      </c>
      <c r="B920" s="4" t="str">
        <f t="shared" si="14"/>
        <v>20220302</v>
      </c>
      <c r="C920" s="5">
        <v>81.2</v>
      </c>
      <c r="D920" s="5">
        <v>84</v>
      </c>
      <c r="E920" s="5">
        <v>82.88</v>
      </c>
    </row>
    <row r="921" spans="1:5">
      <c r="A921" s="4" t="str">
        <f>"20228013118"</f>
        <v>20228013118</v>
      </c>
      <c r="B921" s="4" t="str">
        <f t="shared" si="14"/>
        <v>20220302</v>
      </c>
      <c r="C921" s="5">
        <v>0</v>
      </c>
      <c r="D921" s="5">
        <v>0</v>
      </c>
      <c r="E921" s="5">
        <v>0</v>
      </c>
    </row>
    <row r="922" spans="1:5">
      <c r="A922" s="4" t="str">
        <f>"20228013119"</f>
        <v>20228013119</v>
      </c>
      <c r="B922" s="4" t="str">
        <f t="shared" si="14"/>
        <v>20220302</v>
      </c>
      <c r="C922" s="5">
        <v>100.6</v>
      </c>
      <c r="D922" s="5">
        <v>78.7</v>
      </c>
      <c r="E922" s="5">
        <v>87.46</v>
      </c>
    </row>
    <row r="923" spans="1:5">
      <c r="A923" s="4" t="str">
        <f>"20228013120"</f>
        <v>20228013120</v>
      </c>
      <c r="B923" s="4" t="str">
        <f t="shared" si="14"/>
        <v>20220302</v>
      </c>
      <c r="C923" s="5">
        <v>74.4</v>
      </c>
      <c r="D923" s="5">
        <v>82.3</v>
      </c>
      <c r="E923" s="5">
        <v>79.14</v>
      </c>
    </row>
    <row r="924" spans="1:5">
      <c r="A924" s="4" t="str">
        <f>"20228013121"</f>
        <v>20228013121</v>
      </c>
      <c r="B924" s="4" t="str">
        <f t="shared" si="14"/>
        <v>20220302</v>
      </c>
      <c r="C924" s="5">
        <v>85.2</v>
      </c>
      <c r="D924" s="5">
        <v>86.4</v>
      </c>
      <c r="E924" s="5">
        <v>85.92</v>
      </c>
    </row>
    <row r="925" spans="1:5">
      <c r="A925" s="4" t="str">
        <f>"20228013122"</f>
        <v>20228013122</v>
      </c>
      <c r="B925" s="4" t="str">
        <f t="shared" si="14"/>
        <v>20220302</v>
      </c>
      <c r="C925" s="5">
        <v>0</v>
      </c>
      <c r="D925" s="5">
        <v>0</v>
      </c>
      <c r="E925" s="5">
        <v>0</v>
      </c>
    </row>
    <row r="926" spans="1:5">
      <c r="A926" s="4" t="str">
        <f>"20228013123"</f>
        <v>20228013123</v>
      </c>
      <c r="B926" s="4" t="str">
        <f t="shared" si="14"/>
        <v>20220302</v>
      </c>
      <c r="C926" s="5">
        <v>63.5</v>
      </c>
      <c r="D926" s="5">
        <v>79.3</v>
      </c>
      <c r="E926" s="5">
        <v>72.98</v>
      </c>
    </row>
    <row r="927" spans="1:5">
      <c r="A927" s="4" t="str">
        <f>"20228013124"</f>
        <v>20228013124</v>
      </c>
      <c r="B927" s="4" t="str">
        <f t="shared" si="14"/>
        <v>20220302</v>
      </c>
      <c r="C927" s="5">
        <v>0</v>
      </c>
      <c r="D927" s="5">
        <v>0</v>
      </c>
      <c r="E927" s="5">
        <v>0</v>
      </c>
    </row>
    <row r="928" spans="1:5">
      <c r="A928" s="4" t="str">
        <f>"20228013125"</f>
        <v>20228013125</v>
      </c>
      <c r="B928" s="4" t="str">
        <f t="shared" si="14"/>
        <v>20220302</v>
      </c>
      <c r="C928" s="5">
        <v>102.3</v>
      </c>
      <c r="D928" s="5">
        <v>91.2</v>
      </c>
      <c r="E928" s="5">
        <v>95.64</v>
      </c>
    </row>
    <row r="929" spans="1:5">
      <c r="A929" s="4" t="str">
        <f>"20228013126"</f>
        <v>20228013126</v>
      </c>
      <c r="B929" s="4" t="str">
        <f t="shared" si="14"/>
        <v>20220302</v>
      </c>
      <c r="C929" s="5">
        <v>0</v>
      </c>
      <c r="D929" s="5">
        <v>0</v>
      </c>
      <c r="E929" s="5">
        <v>0</v>
      </c>
    </row>
    <row r="930" spans="1:5">
      <c r="A930" s="4" t="str">
        <f>"20228013127"</f>
        <v>20228013127</v>
      </c>
      <c r="B930" s="4" t="str">
        <f t="shared" si="14"/>
        <v>20220302</v>
      </c>
      <c r="C930" s="5">
        <v>81.3</v>
      </c>
      <c r="D930" s="5">
        <v>83.9</v>
      </c>
      <c r="E930" s="5">
        <v>82.86</v>
      </c>
    </row>
    <row r="931" spans="1:5">
      <c r="A931" s="4" t="str">
        <f>"20228013128"</f>
        <v>20228013128</v>
      </c>
      <c r="B931" s="4" t="str">
        <f t="shared" si="14"/>
        <v>20220302</v>
      </c>
      <c r="C931" s="5">
        <v>89.9</v>
      </c>
      <c r="D931" s="5">
        <v>78.7</v>
      </c>
      <c r="E931" s="5">
        <v>83.18</v>
      </c>
    </row>
    <row r="932" spans="1:5">
      <c r="A932" s="4" t="str">
        <f>"20228013129"</f>
        <v>20228013129</v>
      </c>
      <c r="B932" s="4" t="str">
        <f t="shared" si="14"/>
        <v>20220302</v>
      </c>
      <c r="C932" s="5">
        <v>77.2</v>
      </c>
      <c r="D932" s="5">
        <v>80.6</v>
      </c>
      <c r="E932" s="5">
        <v>79.24</v>
      </c>
    </row>
    <row r="933" spans="1:5">
      <c r="A933" s="4" t="str">
        <f>"20228013130"</f>
        <v>20228013130</v>
      </c>
      <c r="B933" s="4" t="str">
        <f t="shared" si="14"/>
        <v>20220302</v>
      </c>
      <c r="C933" s="5">
        <v>88.3</v>
      </c>
      <c r="D933" s="5">
        <v>85.5</v>
      </c>
      <c r="E933" s="5">
        <v>86.62</v>
      </c>
    </row>
    <row r="934" spans="1:5">
      <c r="A934" s="4" t="str">
        <f>"20228013201"</f>
        <v>20228013201</v>
      </c>
      <c r="B934" s="4" t="str">
        <f t="shared" si="14"/>
        <v>20220302</v>
      </c>
      <c r="C934" s="5">
        <v>101</v>
      </c>
      <c r="D934" s="5">
        <v>93.3</v>
      </c>
      <c r="E934" s="5">
        <v>96.38</v>
      </c>
    </row>
    <row r="935" spans="1:5">
      <c r="A935" s="4" t="str">
        <f>"20228013202"</f>
        <v>20228013202</v>
      </c>
      <c r="B935" s="4" t="str">
        <f t="shared" si="14"/>
        <v>20220302</v>
      </c>
      <c r="C935" s="5">
        <v>0</v>
      </c>
      <c r="D935" s="5">
        <v>0</v>
      </c>
      <c r="E935" s="5">
        <v>0</v>
      </c>
    </row>
    <row r="936" spans="1:5">
      <c r="A936" s="4" t="str">
        <f>"20228013203"</f>
        <v>20228013203</v>
      </c>
      <c r="B936" s="4" t="str">
        <f t="shared" si="14"/>
        <v>20220302</v>
      </c>
      <c r="C936" s="5">
        <v>75.2</v>
      </c>
      <c r="D936" s="5">
        <v>76.5</v>
      </c>
      <c r="E936" s="5">
        <v>75.98</v>
      </c>
    </row>
    <row r="937" spans="1:5">
      <c r="A937" s="4" t="str">
        <f>"20228013204"</f>
        <v>20228013204</v>
      </c>
      <c r="B937" s="4" t="str">
        <f t="shared" si="14"/>
        <v>20220302</v>
      </c>
      <c r="C937" s="5">
        <v>92</v>
      </c>
      <c r="D937" s="5">
        <v>83.9</v>
      </c>
      <c r="E937" s="5">
        <v>87.14</v>
      </c>
    </row>
    <row r="938" spans="1:5">
      <c r="A938" s="4" t="str">
        <f>"20228013205"</f>
        <v>20228013205</v>
      </c>
      <c r="B938" s="4" t="str">
        <f t="shared" si="14"/>
        <v>20220302</v>
      </c>
      <c r="C938" s="5">
        <v>89.8</v>
      </c>
      <c r="D938" s="5">
        <v>82.5</v>
      </c>
      <c r="E938" s="5">
        <v>85.42</v>
      </c>
    </row>
    <row r="939" spans="1:5">
      <c r="A939" s="4" t="str">
        <f>"20228013206"</f>
        <v>20228013206</v>
      </c>
      <c r="B939" s="4" t="str">
        <f t="shared" si="14"/>
        <v>20220302</v>
      </c>
      <c r="C939" s="5">
        <v>83.1</v>
      </c>
      <c r="D939" s="5">
        <v>83.9</v>
      </c>
      <c r="E939" s="5">
        <v>83.58</v>
      </c>
    </row>
    <row r="940" spans="1:5">
      <c r="A940" s="4" t="str">
        <f>"20228013207"</f>
        <v>20228013207</v>
      </c>
      <c r="B940" s="4" t="str">
        <f t="shared" si="14"/>
        <v>20220302</v>
      </c>
      <c r="C940" s="5">
        <v>0</v>
      </c>
      <c r="D940" s="5">
        <v>0</v>
      </c>
      <c r="E940" s="5">
        <v>0</v>
      </c>
    </row>
    <row r="941" spans="1:5">
      <c r="A941" s="4" t="str">
        <f>"20228013208"</f>
        <v>20228013208</v>
      </c>
      <c r="B941" s="4" t="str">
        <f t="shared" si="14"/>
        <v>20220302</v>
      </c>
      <c r="C941" s="5">
        <v>0</v>
      </c>
      <c r="D941" s="5">
        <v>0</v>
      </c>
      <c r="E941" s="5">
        <v>0</v>
      </c>
    </row>
    <row r="942" spans="1:5">
      <c r="A942" s="4" t="str">
        <f>"20228013209"</f>
        <v>20228013209</v>
      </c>
      <c r="B942" s="4" t="str">
        <f t="shared" si="14"/>
        <v>20220302</v>
      </c>
      <c r="C942" s="5">
        <v>78.2</v>
      </c>
      <c r="D942" s="5">
        <v>83.5</v>
      </c>
      <c r="E942" s="5">
        <v>81.38</v>
      </c>
    </row>
    <row r="943" spans="1:5">
      <c r="A943" s="4" t="str">
        <f>"20228013210"</f>
        <v>20228013210</v>
      </c>
      <c r="B943" s="4" t="str">
        <f t="shared" si="14"/>
        <v>20220302</v>
      </c>
      <c r="C943" s="5">
        <v>97.7</v>
      </c>
      <c r="D943" s="5">
        <v>89.9</v>
      </c>
      <c r="E943" s="5">
        <v>93.02</v>
      </c>
    </row>
    <row r="944" spans="1:5">
      <c r="A944" s="4" t="str">
        <f>"20228013211"</f>
        <v>20228013211</v>
      </c>
      <c r="B944" s="4" t="str">
        <f t="shared" si="14"/>
        <v>20220302</v>
      </c>
      <c r="C944" s="5">
        <v>96.8</v>
      </c>
      <c r="D944" s="5">
        <v>90.5</v>
      </c>
      <c r="E944" s="5">
        <v>93.02</v>
      </c>
    </row>
    <row r="945" spans="1:5">
      <c r="A945" s="4" t="str">
        <f>"20228013212"</f>
        <v>20228013212</v>
      </c>
      <c r="B945" s="4" t="str">
        <f t="shared" si="14"/>
        <v>20220302</v>
      </c>
      <c r="C945" s="5">
        <v>95.9</v>
      </c>
      <c r="D945" s="5">
        <v>96.2</v>
      </c>
      <c r="E945" s="5">
        <v>96.08</v>
      </c>
    </row>
    <row r="946" spans="1:5">
      <c r="A946" s="4" t="str">
        <f>"20228013213"</f>
        <v>20228013213</v>
      </c>
      <c r="B946" s="4" t="str">
        <f t="shared" si="14"/>
        <v>20220302</v>
      </c>
      <c r="C946" s="5">
        <v>94.7</v>
      </c>
      <c r="D946" s="5">
        <v>83.9</v>
      </c>
      <c r="E946" s="5">
        <v>88.22</v>
      </c>
    </row>
    <row r="947" spans="1:5">
      <c r="A947" s="4" t="str">
        <f>"20228013214"</f>
        <v>20228013214</v>
      </c>
      <c r="B947" s="4" t="str">
        <f t="shared" si="14"/>
        <v>20220302</v>
      </c>
      <c r="C947" s="5">
        <v>0</v>
      </c>
      <c r="D947" s="5">
        <v>0</v>
      </c>
      <c r="E947" s="5">
        <v>0</v>
      </c>
    </row>
    <row r="948" spans="1:5">
      <c r="A948" s="4" t="str">
        <f>"20228013215"</f>
        <v>20228013215</v>
      </c>
      <c r="B948" s="4" t="str">
        <f t="shared" ref="B948:B1002" si="15">"20220302"</f>
        <v>20220302</v>
      </c>
      <c r="C948" s="5">
        <v>99.6</v>
      </c>
      <c r="D948" s="5">
        <v>89.5</v>
      </c>
      <c r="E948" s="5">
        <v>93.54</v>
      </c>
    </row>
    <row r="949" spans="1:5">
      <c r="A949" s="4" t="str">
        <f>"20228013216"</f>
        <v>20228013216</v>
      </c>
      <c r="B949" s="4" t="str">
        <f t="shared" si="15"/>
        <v>20220302</v>
      </c>
      <c r="C949" s="5">
        <v>67.8</v>
      </c>
      <c r="D949" s="5">
        <v>74.4</v>
      </c>
      <c r="E949" s="5">
        <v>71.76</v>
      </c>
    </row>
    <row r="950" spans="1:5">
      <c r="A950" s="4" t="str">
        <f>"20228013217"</f>
        <v>20228013217</v>
      </c>
      <c r="B950" s="4" t="str">
        <f t="shared" si="15"/>
        <v>20220302</v>
      </c>
      <c r="C950" s="5">
        <v>94.5</v>
      </c>
      <c r="D950" s="5">
        <v>82.1</v>
      </c>
      <c r="E950" s="5">
        <v>87.06</v>
      </c>
    </row>
    <row r="951" spans="1:5">
      <c r="A951" s="4" t="str">
        <f>"20228013218"</f>
        <v>20228013218</v>
      </c>
      <c r="B951" s="4" t="str">
        <f t="shared" si="15"/>
        <v>20220302</v>
      </c>
      <c r="C951" s="5">
        <v>88</v>
      </c>
      <c r="D951" s="5">
        <v>89</v>
      </c>
      <c r="E951" s="5">
        <v>88.6</v>
      </c>
    </row>
    <row r="952" spans="1:5">
      <c r="A952" s="4" t="str">
        <f>"20228013219"</f>
        <v>20228013219</v>
      </c>
      <c r="B952" s="4" t="str">
        <f t="shared" si="15"/>
        <v>20220302</v>
      </c>
      <c r="C952" s="5">
        <v>103.4</v>
      </c>
      <c r="D952" s="5">
        <v>89.6</v>
      </c>
      <c r="E952" s="5">
        <v>95.12</v>
      </c>
    </row>
    <row r="953" spans="1:5">
      <c r="A953" s="4" t="str">
        <f>"20228013220"</f>
        <v>20228013220</v>
      </c>
      <c r="B953" s="4" t="str">
        <f t="shared" si="15"/>
        <v>20220302</v>
      </c>
      <c r="C953" s="5">
        <v>93.7</v>
      </c>
      <c r="D953" s="5">
        <v>75.1</v>
      </c>
      <c r="E953" s="5">
        <v>82.54</v>
      </c>
    </row>
    <row r="954" spans="1:5">
      <c r="A954" s="4" t="str">
        <f>"20228013221"</f>
        <v>20228013221</v>
      </c>
      <c r="B954" s="4" t="str">
        <f t="shared" si="15"/>
        <v>20220302</v>
      </c>
      <c r="C954" s="5">
        <v>0</v>
      </c>
      <c r="D954" s="5">
        <v>0</v>
      </c>
      <c r="E954" s="5">
        <v>0</v>
      </c>
    </row>
    <row r="955" spans="1:5">
      <c r="A955" s="4" t="str">
        <f>"20228013222"</f>
        <v>20228013222</v>
      </c>
      <c r="B955" s="4" t="str">
        <f t="shared" si="15"/>
        <v>20220302</v>
      </c>
      <c r="C955" s="5">
        <v>0</v>
      </c>
      <c r="D955" s="5">
        <v>0</v>
      </c>
      <c r="E955" s="5">
        <v>0</v>
      </c>
    </row>
    <row r="956" spans="1:5">
      <c r="A956" s="4" t="str">
        <f>"20228013223"</f>
        <v>20228013223</v>
      </c>
      <c r="B956" s="4" t="str">
        <f t="shared" si="15"/>
        <v>20220302</v>
      </c>
      <c r="C956" s="5">
        <v>0</v>
      </c>
      <c r="D956" s="5">
        <v>0</v>
      </c>
      <c r="E956" s="5">
        <v>0</v>
      </c>
    </row>
    <row r="957" spans="1:5">
      <c r="A957" s="4" t="str">
        <f>"20228013224"</f>
        <v>20228013224</v>
      </c>
      <c r="B957" s="4" t="str">
        <f t="shared" si="15"/>
        <v>20220302</v>
      </c>
      <c r="C957" s="5">
        <v>0</v>
      </c>
      <c r="D957" s="5">
        <v>73.1</v>
      </c>
      <c r="E957" s="5">
        <v>43.86</v>
      </c>
    </row>
    <row r="958" spans="1:5">
      <c r="A958" s="4" t="str">
        <f>"20228013225"</f>
        <v>20228013225</v>
      </c>
      <c r="B958" s="4" t="str">
        <f t="shared" si="15"/>
        <v>20220302</v>
      </c>
      <c r="C958" s="5">
        <v>0</v>
      </c>
      <c r="D958" s="5">
        <v>0</v>
      </c>
      <c r="E958" s="5">
        <v>0</v>
      </c>
    </row>
    <row r="959" spans="1:5">
      <c r="A959" s="4" t="str">
        <f>"20228013226"</f>
        <v>20228013226</v>
      </c>
      <c r="B959" s="4" t="str">
        <f t="shared" si="15"/>
        <v>20220302</v>
      </c>
      <c r="C959" s="5">
        <v>87.5</v>
      </c>
      <c r="D959" s="5">
        <v>73.8</v>
      </c>
      <c r="E959" s="5">
        <v>79.28</v>
      </c>
    </row>
    <row r="960" spans="1:5">
      <c r="A960" s="4" t="str">
        <f>"20228013227"</f>
        <v>20228013227</v>
      </c>
      <c r="B960" s="4" t="str">
        <f t="shared" si="15"/>
        <v>20220302</v>
      </c>
      <c r="C960" s="5">
        <v>0</v>
      </c>
      <c r="D960" s="5">
        <v>0</v>
      </c>
      <c r="E960" s="5">
        <v>0</v>
      </c>
    </row>
    <row r="961" spans="1:5">
      <c r="A961" s="4" t="str">
        <f>"20228013228"</f>
        <v>20228013228</v>
      </c>
      <c r="B961" s="4" t="str">
        <f t="shared" si="15"/>
        <v>20220302</v>
      </c>
      <c r="C961" s="5">
        <v>97.4</v>
      </c>
      <c r="D961" s="5">
        <v>81.3</v>
      </c>
      <c r="E961" s="5">
        <v>87.74</v>
      </c>
    </row>
    <row r="962" spans="1:5">
      <c r="A962" s="4" t="str">
        <f>"20228013229"</f>
        <v>20228013229</v>
      </c>
      <c r="B962" s="4" t="str">
        <f t="shared" si="15"/>
        <v>20220302</v>
      </c>
      <c r="C962" s="5">
        <v>0</v>
      </c>
      <c r="D962" s="5">
        <v>0</v>
      </c>
      <c r="E962" s="5">
        <v>0</v>
      </c>
    </row>
    <row r="963" spans="1:5">
      <c r="A963" s="4" t="str">
        <f>"20228013230"</f>
        <v>20228013230</v>
      </c>
      <c r="B963" s="4" t="str">
        <f t="shared" si="15"/>
        <v>20220302</v>
      </c>
      <c r="C963" s="5">
        <v>0</v>
      </c>
      <c r="D963" s="5">
        <v>0</v>
      </c>
      <c r="E963" s="5">
        <v>0</v>
      </c>
    </row>
    <row r="964" spans="1:5">
      <c r="A964" s="4" t="str">
        <f>"20228013301"</f>
        <v>20228013301</v>
      </c>
      <c r="B964" s="4" t="str">
        <f t="shared" si="15"/>
        <v>20220302</v>
      </c>
      <c r="C964" s="5">
        <v>0</v>
      </c>
      <c r="D964" s="5">
        <v>0</v>
      </c>
      <c r="E964" s="5">
        <v>0</v>
      </c>
    </row>
    <row r="965" spans="1:5">
      <c r="A965" s="4" t="str">
        <f>"20228013302"</f>
        <v>20228013302</v>
      </c>
      <c r="B965" s="4" t="str">
        <f t="shared" si="15"/>
        <v>20220302</v>
      </c>
      <c r="C965" s="5">
        <v>81.4</v>
      </c>
      <c r="D965" s="5">
        <v>78.4</v>
      </c>
      <c r="E965" s="5">
        <v>79.6</v>
      </c>
    </row>
    <row r="966" spans="1:5">
      <c r="A966" s="4" t="str">
        <f>"20228013303"</f>
        <v>20228013303</v>
      </c>
      <c r="B966" s="4" t="str">
        <f t="shared" si="15"/>
        <v>20220302</v>
      </c>
      <c r="C966" s="5">
        <v>84.3</v>
      </c>
      <c r="D966" s="5">
        <v>84.9</v>
      </c>
      <c r="E966" s="5">
        <v>84.66</v>
      </c>
    </row>
    <row r="967" spans="1:5">
      <c r="A967" s="4" t="str">
        <f>"20228013304"</f>
        <v>20228013304</v>
      </c>
      <c r="B967" s="4" t="str">
        <f t="shared" si="15"/>
        <v>20220302</v>
      </c>
      <c r="C967" s="5">
        <v>0</v>
      </c>
      <c r="D967" s="5">
        <v>0</v>
      </c>
      <c r="E967" s="5">
        <v>0</v>
      </c>
    </row>
    <row r="968" spans="1:5">
      <c r="A968" s="4" t="str">
        <f>"20228013305"</f>
        <v>20228013305</v>
      </c>
      <c r="B968" s="4" t="str">
        <f t="shared" si="15"/>
        <v>20220302</v>
      </c>
      <c r="C968" s="5">
        <v>0</v>
      </c>
      <c r="D968" s="5">
        <v>0</v>
      </c>
      <c r="E968" s="5">
        <v>0</v>
      </c>
    </row>
    <row r="969" spans="1:5">
      <c r="A969" s="4" t="str">
        <f>"20228013306"</f>
        <v>20228013306</v>
      </c>
      <c r="B969" s="4" t="str">
        <f t="shared" si="15"/>
        <v>20220302</v>
      </c>
      <c r="C969" s="5">
        <v>88.3</v>
      </c>
      <c r="D969" s="5">
        <v>82.6</v>
      </c>
      <c r="E969" s="5">
        <v>84.88</v>
      </c>
    </row>
    <row r="970" spans="1:5">
      <c r="A970" s="4" t="str">
        <f>"20228013307"</f>
        <v>20228013307</v>
      </c>
      <c r="B970" s="4" t="str">
        <f t="shared" si="15"/>
        <v>20220302</v>
      </c>
      <c r="C970" s="5">
        <v>91.1</v>
      </c>
      <c r="D970" s="5">
        <v>84.9</v>
      </c>
      <c r="E970" s="5">
        <v>87.38</v>
      </c>
    </row>
    <row r="971" spans="1:5">
      <c r="A971" s="4" t="str">
        <f>"20228013308"</f>
        <v>20228013308</v>
      </c>
      <c r="B971" s="4" t="str">
        <f t="shared" si="15"/>
        <v>20220302</v>
      </c>
      <c r="C971" s="5">
        <v>0</v>
      </c>
      <c r="D971" s="5">
        <v>0</v>
      </c>
      <c r="E971" s="5">
        <v>0</v>
      </c>
    </row>
    <row r="972" spans="1:5">
      <c r="A972" s="4" t="str">
        <f>"20228013309"</f>
        <v>20228013309</v>
      </c>
      <c r="B972" s="4" t="str">
        <f t="shared" si="15"/>
        <v>20220302</v>
      </c>
      <c r="C972" s="5">
        <v>0</v>
      </c>
      <c r="D972" s="5">
        <v>0</v>
      </c>
      <c r="E972" s="5">
        <v>0</v>
      </c>
    </row>
    <row r="973" spans="1:5">
      <c r="A973" s="4" t="str">
        <f>"20228013310"</f>
        <v>20228013310</v>
      </c>
      <c r="B973" s="4" t="str">
        <f t="shared" si="15"/>
        <v>20220302</v>
      </c>
      <c r="C973" s="5">
        <v>0</v>
      </c>
      <c r="D973" s="5">
        <v>0</v>
      </c>
      <c r="E973" s="5">
        <v>0</v>
      </c>
    </row>
    <row r="974" spans="1:5">
      <c r="A974" s="4" t="str">
        <f>"20228013311"</f>
        <v>20228013311</v>
      </c>
      <c r="B974" s="4" t="str">
        <f t="shared" si="15"/>
        <v>20220302</v>
      </c>
      <c r="C974" s="5">
        <v>95.1</v>
      </c>
      <c r="D974" s="5">
        <v>82.1</v>
      </c>
      <c r="E974" s="5">
        <v>87.3</v>
      </c>
    </row>
    <row r="975" spans="1:5">
      <c r="A975" s="4" t="str">
        <f>"20228013312"</f>
        <v>20228013312</v>
      </c>
      <c r="B975" s="4" t="str">
        <f t="shared" si="15"/>
        <v>20220302</v>
      </c>
      <c r="C975" s="5">
        <v>86</v>
      </c>
      <c r="D975" s="5">
        <v>78.4</v>
      </c>
      <c r="E975" s="5">
        <v>81.44</v>
      </c>
    </row>
    <row r="976" spans="1:5">
      <c r="A976" s="4" t="str">
        <f>"20228013313"</f>
        <v>20228013313</v>
      </c>
      <c r="B976" s="4" t="str">
        <f t="shared" si="15"/>
        <v>20220302</v>
      </c>
      <c r="C976" s="5">
        <v>87.3</v>
      </c>
      <c r="D976" s="5">
        <v>74.3</v>
      </c>
      <c r="E976" s="5">
        <v>79.5</v>
      </c>
    </row>
    <row r="977" spans="1:5">
      <c r="A977" s="4" t="str">
        <f>"20228013314"</f>
        <v>20228013314</v>
      </c>
      <c r="B977" s="4" t="str">
        <f t="shared" si="15"/>
        <v>20220302</v>
      </c>
      <c r="C977" s="5">
        <v>95.2</v>
      </c>
      <c r="D977" s="5">
        <v>89.1</v>
      </c>
      <c r="E977" s="5">
        <v>91.54</v>
      </c>
    </row>
    <row r="978" spans="1:5">
      <c r="A978" s="4" t="str">
        <f>"20228013315"</f>
        <v>20228013315</v>
      </c>
      <c r="B978" s="4" t="str">
        <f t="shared" si="15"/>
        <v>20220302</v>
      </c>
      <c r="C978" s="5">
        <v>89.1</v>
      </c>
      <c r="D978" s="5">
        <v>88.9</v>
      </c>
      <c r="E978" s="5">
        <v>88.98</v>
      </c>
    </row>
    <row r="979" spans="1:5">
      <c r="A979" s="4" t="str">
        <f>"20228013316"</f>
        <v>20228013316</v>
      </c>
      <c r="B979" s="4" t="str">
        <f t="shared" si="15"/>
        <v>20220302</v>
      </c>
      <c r="C979" s="5">
        <v>83.3</v>
      </c>
      <c r="D979" s="5">
        <v>80.9</v>
      </c>
      <c r="E979" s="5">
        <v>81.86</v>
      </c>
    </row>
    <row r="980" spans="1:5">
      <c r="A980" s="4" t="str">
        <f>"20228013317"</f>
        <v>20228013317</v>
      </c>
      <c r="B980" s="4" t="str">
        <f t="shared" si="15"/>
        <v>20220302</v>
      </c>
      <c r="C980" s="5">
        <v>102.5</v>
      </c>
      <c r="D980" s="5">
        <v>90.7</v>
      </c>
      <c r="E980" s="5">
        <v>95.42</v>
      </c>
    </row>
    <row r="981" spans="1:5">
      <c r="A981" s="4" t="str">
        <f>"20228013318"</f>
        <v>20228013318</v>
      </c>
      <c r="B981" s="4" t="str">
        <f t="shared" si="15"/>
        <v>20220302</v>
      </c>
      <c r="C981" s="5">
        <v>96.7</v>
      </c>
      <c r="D981" s="5">
        <v>94.3</v>
      </c>
      <c r="E981" s="5">
        <v>95.26</v>
      </c>
    </row>
    <row r="982" spans="1:5">
      <c r="A982" s="4" t="str">
        <f>"20228013319"</f>
        <v>20228013319</v>
      </c>
      <c r="B982" s="4" t="str">
        <f t="shared" si="15"/>
        <v>20220302</v>
      </c>
      <c r="C982" s="5">
        <v>93.7</v>
      </c>
      <c r="D982" s="5">
        <v>91.7</v>
      </c>
      <c r="E982" s="5">
        <v>92.5</v>
      </c>
    </row>
    <row r="983" spans="1:5">
      <c r="A983" s="4" t="str">
        <f>"20228013320"</f>
        <v>20228013320</v>
      </c>
      <c r="B983" s="4" t="str">
        <f t="shared" si="15"/>
        <v>20220302</v>
      </c>
      <c r="C983" s="5">
        <v>102.6</v>
      </c>
      <c r="D983" s="5">
        <v>89.3</v>
      </c>
      <c r="E983" s="5">
        <v>94.62</v>
      </c>
    </row>
    <row r="984" spans="1:5">
      <c r="A984" s="4" t="str">
        <f>"20228013321"</f>
        <v>20228013321</v>
      </c>
      <c r="B984" s="4" t="str">
        <f t="shared" si="15"/>
        <v>20220302</v>
      </c>
      <c r="C984" s="5">
        <v>0</v>
      </c>
      <c r="D984" s="5">
        <v>0</v>
      </c>
      <c r="E984" s="5">
        <v>0</v>
      </c>
    </row>
    <row r="985" spans="1:5">
      <c r="A985" s="4" t="str">
        <f>"20228013322"</f>
        <v>20228013322</v>
      </c>
      <c r="B985" s="4" t="str">
        <f t="shared" si="15"/>
        <v>20220302</v>
      </c>
      <c r="C985" s="5">
        <v>96.8</v>
      </c>
      <c r="D985" s="5">
        <v>94.5</v>
      </c>
      <c r="E985" s="5">
        <v>95.42</v>
      </c>
    </row>
    <row r="986" spans="1:5">
      <c r="A986" s="4" t="str">
        <f>"20228013323"</f>
        <v>20228013323</v>
      </c>
      <c r="B986" s="4" t="str">
        <f t="shared" si="15"/>
        <v>20220302</v>
      </c>
      <c r="C986" s="5">
        <v>92.5</v>
      </c>
      <c r="D986" s="5">
        <v>83.3</v>
      </c>
      <c r="E986" s="5">
        <v>86.98</v>
      </c>
    </row>
    <row r="987" spans="1:5">
      <c r="A987" s="4" t="str">
        <f>"20228013324"</f>
        <v>20228013324</v>
      </c>
      <c r="B987" s="4" t="str">
        <f t="shared" si="15"/>
        <v>20220302</v>
      </c>
      <c r="C987" s="5">
        <v>103.6</v>
      </c>
      <c r="D987" s="5">
        <v>89.7</v>
      </c>
      <c r="E987" s="5">
        <v>95.26</v>
      </c>
    </row>
    <row r="988" spans="1:5">
      <c r="A988" s="4" t="str">
        <f>"20228013325"</f>
        <v>20228013325</v>
      </c>
      <c r="B988" s="4" t="str">
        <f t="shared" si="15"/>
        <v>20220302</v>
      </c>
      <c r="C988" s="5">
        <v>101.1</v>
      </c>
      <c r="D988" s="5">
        <v>85.5</v>
      </c>
      <c r="E988" s="5">
        <v>91.74</v>
      </c>
    </row>
    <row r="989" spans="1:5">
      <c r="A989" s="4" t="str">
        <f>"20228013326"</f>
        <v>20228013326</v>
      </c>
      <c r="B989" s="4" t="str">
        <f t="shared" si="15"/>
        <v>20220302</v>
      </c>
      <c r="C989" s="5">
        <v>0</v>
      </c>
      <c r="D989" s="5">
        <v>0</v>
      </c>
      <c r="E989" s="5">
        <v>0</v>
      </c>
    </row>
    <row r="990" spans="1:5">
      <c r="A990" s="4" t="str">
        <f>"20228013327"</f>
        <v>20228013327</v>
      </c>
      <c r="B990" s="4" t="str">
        <f t="shared" si="15"/>
        <v>20220302</v>
      </c>
      <c r="C990" s="5">
        <v>96.7</v>
      </c>
      <c r="D990" s="5">
        <v>85.4</v>
      </c>
      <c r="E990" s="5">
        <v>89.92</v>
      </c>
    </row>
    <row r="991" spans="1:5">
      <c r="A991" s="4" t="str">
        <f>"20228013328"</f>
        <v>20228013328</v>
      </c>
      <c r="B991" s="4" t="str">
        <f t="shared" si="15"/>
        <v>20220302</v>
      </c>
      <c r="C991" s="5">
        <v>0</v>
      </c>
      <c r="D991" s="5">
        <v>0</v>
      </c>
      <c r="E991" s="5">
        <v>0</v>
      </c>
    </row>
    <row r="992" spans="1:5">
      <c r="A992" s="4" t="str">
        <f>"20228013329"</f>
        <v>20228013329</v>
      </c>
      <c r="B992" s="4" t="str">
        <f t="shared" si="15"/>
        <v>20220302</v>
      </c>
      <c r="C992" s="5">
        <v>92.5</v>
      </c>
      <c r="D992" s="5">
        <v>89</v>
      </c>
      <c r="E992" s="5">
        <v>90.4</v>
      </c>
    </row>
    <row r="993" spans="1:5">
      <c r="A993" s="4" t="str">
        <f>"20228013330"</f>
        <v>20228013330</v>
      </c>
      <c r="B993" s="4" t="str">
        <f t="shared" si="15"/>
        <v>20220302</v>
      </c>
      <c r="C993" s="5">
        <v>0</v>
      </c>
      <c r="D993" s="5">
        <v>0</v>
      </c>
      <c r="E993" s="5">
        <v>0</v>
      </c>
    </row>
    <row r="994" spans="1:5">
      <c r="A994" s="4" t="str">
        <f>"20228013401"</f>
        <v>20228013401</v>
      </c>
      <c r="B994" s="4" t="str">
        <f t="shared" si="15"/>
        <v>20220302</v>
      </c>
      <c r="C994" s="5">
        <v>0</v>
      </c>
      <c r="D994" s="5">
        <v>0</v>
      </c>
      <c r="E994" s="5">
        <v>0</v>
      </c>
    </row>
    <row r="995" spans="1:5">
      <c r="A995" s="4" t="str">
        <f>"20228013402"</f>
        <v>20228013402</v>
      </c>
      <c r="B995" s="4" t="str">
        <f t="shared" si="15"/>
        <v>20220302</v>
      </c>
      <c r="C995" s="5">
        <v>98.5</v>
      </c>
      <c r="D995" s="5">
        <v>84.6</v>
      </c>
      <c r="E995" s="5">
        <v>90.16</v>
      </c>
    </row>
    <row r="996" spans="1:5">
      <c r="A996" s="4" t="str">
        <f>"20228013403"</f>
        <v>20228013403</v>
      </c>
      <c r="B996" s="4" t="str">
        <f t="shared" si="15"/>
        <v>20220302</v>
      </c>
      <c r="C996" s="5">
        <v>0</v>
      </c>
      <c r="D996" s="5">
        <v>0</v>
      </c>
      <c r="E996" s="5">
        <v>0</v>
      </c>
    </row>
    <row r="997" spans="1:5">
      <c r="A997" s="4" t="str">
        <f>"20228013404"</f>
        <v>20228013404</v>
      </c>
      <c r="B997" s="4" t="str">
        <f t="shared" si="15"/>
        <v>20220302</v>
      </c>
      <c r="C997" s="5">
        <v>94.1</v>
      </c>
      <c r="D997" s="5">
        <v>83.9</v>
      </c>
      <c r="E997" s="5">
        <v>87.98</v>
      </c>
    </row>
    <row r="998" spans="1:5">
      <c r="A998" s="4" t="str">
        <f>"20228013405"</f>
        <v>20228013405</v>
      </c>
      <c r="B998" s="4" t="str">
        <f t="shared" si="15"/>
        <v>20220302</v>
      </c>
      <c r="C998" s="5">
        <v>94.1</v>
      </c>
      <c r="D998" s="5">
        <v>79.2</v>
      </c>
      <c r="E998" s="5">
        <v>85.16</v>
      </c>
    </row>
    <row r="999" spans="1:5">
      <c r="A999" s="4" t="str">
        <f>"20228013406"</f>
        <v>20228013406</v>
      </c>
      <c r="B999" s="4" t="str">
        <f t="shared" si="15"/>
        <v>20220302</v>
      </c>
      <c r="C999" s="5">
        <v>96.9</v>
      </c>
      <c r="D999" s="5">
        <v>79</v>
      </c>
      <c r="E999" s="5">
        <v>86.16</v>
      </c>
    </row>
    <row r="1000" spans="1:5">
      <c r="A1000" s="4" t="str">
        <f>"20228013407"</f>
        <v>20228013407</v>
      </c>
      <c r="B1000" s="4" t="str">
        <f t="shared" si="15"/>
        <v>20220302</v>
      </c>
      <c r="C1000" s="5">
        <v>80.1</v>
      </c>
      <c r="D1000" s="5">
        <v>78.9</v>
      </c>
      <c r="E1000" s="5">
        <v>79.38</v>
      </c>
    </row>
    <row r="1001" spans="1:5">
      <c r="A1001" s="4" t="str">
        <f>"20228013408"</f>
        <v>20228013408</v>
      </c>
      <c r="B1001" s="4" t="str">
        <f t="shared" si="15"/>
        <v>20220302</v>
      </c>
      <c r="C1001" s="5">
        <v>90.5</v>
      </c>
      <c r="D1001" s="5">
        <v>76.1</v>
      </c>
      <c r="E1001" s="5">
        <v>81.86</v>
      </c>
    </row>
    <row r="1002" spans="1:5">
      <c r="A1002" s="4" t="str">
        <f>"20228013409"</f>
        <v>20228013409</v>
      </c>
      <c r="B1002" s="4" t="str">
        <f t="shared" si="15"/>
        <v>20220302</v>
      </c>
      <c r="C1002" s="5">
        <v>0</v>
      </c>
      <c r="D1002" s="5">
        <v>0</v>
      </c>
      <c r="E1002" s="5">
        <v>0</v>
      </c>
    </row>
    <row r="1003" spans="1:5">
      <c r="A1003" s="4" t="str">
        <f>"20228013410"</f>
        <v>20228013410</v>
      </c>
      <c r="B1003" s="4" t="str">
        <f t="shared" ref="B1003:B1066" si="16">"20220304"</f>
        <v>20220304</v>
      </c>
      <c r="C1003" s="5">
        <v>0</v>
      </c>
      <c r="D1003" s="5">
        <v>0</v>
      </c>
      <c r="E1003" s="5">
        <v>0</v>
      </c>
    </row>
    <row r="1004" spans="1:5">
      <c r="A1004" s="4" t="str">
        <f>"20228013411"</f>
        <v>20228013411</v>
      </c>
      <c r="B1004" s="4" t="str">
        <f t="shared" si="16"/>
        <v>20220304</v>
      </c>
      <c r="C1004" s="5">
        <v>94.1</v>
      </c>
      <c r="D1004" s="5">
        <v>100.5</v>
      </c>
      <c r="E1004" s="5">
        <v>97.94</v>
      </c>
    </row>
    <row r="1005" spans="1:5">
      <c r="A1005" s="4" t="str">
        <f>"20228013412"</f>
        <v>20228013412</v>
      </c>
      <c r="B1005" s="4" t="str">
        <f t="shared" si="16"/>
        <v>20220304</v>
      </c>
      <c r="C1005" s="5">
        <v>0</v>
      </c>
      <c r="D1005" s="5">
        <v>0</v>
      </c>
      <c r="E1005" s="5">
        <v>0</v>
      </c>
    </row>
    <row r="1006" spans="1:5">
      <c r="A1006" s="4" t="str">
        <f>"20228013413"</f>
        <v>20228013413</v>
      </c>
      <c r="B1006" s="4" t="str">
        <f t="shared" si="16"/>
        <v>20220304</v>
      </c>
      <c r="C1006" s="5">
        <v>0</v>
      </c>
      <c r="D1006" s="5">
        <v>0</v>
      </c>
      <c r="E1006" s="5">
        <v>0</v>
      </c>
    </row>
    <row r="1007" spans="1:5">
      <c r="A1007" s="4" t="str">
        <f>"20228013414"</f>
        <v>20228013414</v>
      </c>
      <c r="B1007" s="4" t="str">
        <f t="shared" si="16"/>
        <v>20220304</v>
      </c>
      <c r="C1007" s="5">
        <v>95.4</v>
      </c>
      <c r="D1007" s="5">
        <v>95.6</v>
      </c>
      <c r="E1007" s="5">
        <v>95.52</v>
      </c>
    </row>
    <row r="1008" spans="1:5">
      <c r="A1008" s="4" t="str">
        <f>"20228013415"</f>
        <v>20228013415</v>
      </c>
      <c r="B1008" s="4" t="str">
        <f t="shared" si="16"/>
        <v>20220304</v>
      </c>
      <c r="C1008" s="5">
        <v>0</v>
      </c>
      <c r="D1008" s="5">
        <v>0</v>
      </c>
      <c r="E1008" s="5">
        <v>0</v>
      </c>
    </row>
    <row r="1009" spans="1:5">
      <c r="A1009" s="4" t="str">
        <f>"20228013416"</f>
        <v>20228013416</v>
      </c>
      <c r="B1009" s="4" t="str">
        <f t="shared" si="16"/>
        <v>20220304</v>
      </c>
      <c r="C1009" s="5">
        <v>93</v>
      </c>
      <c r="D1009" s="5">
        <v>86.3</v>
      </c>
      <c r="E1009" s="5">
        <v>88.98</v>
      </c>
    </row>
    <row r="1010" spans="1:5">
      <c r="A1010" s="4" t="str">
        <f>"20228013417"</f>
        <v>20228013417</v>
      </c>
      <c r="B1010" s="4" t="str">
        <f t="shared" si="16"/>
        <v>20220304</v>
      </c>
      <c r="C1010" s="5">
        <v>0</v>
      </c>
      <c r="D1010" s="5">
        <v>0</v>
      </c>
      <c r="E1010" s="5">
        <v>0</v>
      </c>
    </row>
    <row r="1011" spans="1:5">
      <c r="A1011" s="4" t="str">
        <f>"20228013418"</f>
        <v>20228013418</v>
      </c>
      <c r="B1011" s="4" t="str">
        <f t="shared" si="16"/>
        <v>20220304</v>
      </c>
      <c r="C1011" s="5">
        <v>101</v>
      </c>
      <c r="D1011" s="5">
        <v>91.3</v>
      </c>
      <c r="E1011" s="5">
        <v>95.18</v>
      </c>
    </row>
    <row r="1012" spans="1:5">
      <c r="A1012" s="4" t="str">
        <f>"20228013419"</f>
        <v>20228013419</v>
      </c>
      <c r="B1012" s="4" t="str">
        <f t="shared" si="16"/>
        <v>20220304</v>
      </c>
      <c r="C1012" s="5">
        <v>95.8</v>
      </c>
      <c r="D1012" s="5">
        <v>92.8</v>
      </c>
      <c r="E1012" s="5">
        <v>94</v>
      </c>
    </row>
    <row r="1013" spans="1:5">
      <c r="A1013" s="4" t="str">
        <f>"20228013420"</f>
        <v>20228013420</v>
      </c>
      <c r="B1013" s="4" t="str">
        <f t="shared" si="16"/>
        <v>20220304</v>
      </c>
      <c r="C1013" s="5">
        <v>82.4</v>
      </c>
      <c r="D1013" s="5">
        <v>87</v>
      </c>
      <c r="E1013" s="5">
        <v>85.16</v>
      </c>
    </row>
    <row r="1014" spans="1:5">
      <c r="A1014" s="4" t="str">
        <f>"20228013421"</f>
        <v>20228013421</v>
      </c>
      <c r="B1014" s="4" t="str">
        <f t="shared" si="16"/>
        <v>20220304</v>
      </c>
      <c r="C1014" s="5">
        <v>0</v>
      </c>
      <c r="D1014" s="5">
        <v>0</v>
      </c>
      <c r="E1014" s="5">
        <v>0</v>
      </c>
    </row>
    <row r="1015" spans="1:5">
      <c r="A1015" s="4" t="str">
        <f>"20228013422"</f>
        <v>20228013422</v>
      </c>
      <c r="B1015" s="4" t="str">
        <f t="shared" si="16"/>
        <v>20220304</v>
      </c>
      <c r="C1015" s="5">
        <v>0</v>
      </c>
      <c r="D1015" s="5">
        <v>0</v>
      </c>
      <c r="E1015" s="5">
        <v>0</v>
      </c>
    </row>
    <row r="1016" spans="1:5">
      <c r="A1016" s="4" t="str">
        <f>"20228013423"</f>
        <v>20228013423</v>
      </c>
      <c r="B1016" s="4" t="str">
        <f t="shared" si="16"/>
        <v>20220304</v>
      </c>
      <c r="C1016" s="5">
        <v>0</v>
      </c>
      <c r="D1016" s="5">
        <v>0</v>
      </c>
      <c r="E1016" s="5">
        <v>0</v>
      </c>
    </row>
    <row r="1017" spans="1:5">
      <c r="A1017" s="4" t="str">
        <f>"20228013424"</f>
        <v>20228013424</v>
      </c>
      <c r="B1017" s="4" t="str">
        <f t="shared" si="16"/>
        <v>20220304</v>
      </c>
      <c r="C1017" s="5">
        <v>0</v>
      </c>
      <c r="D1017" s="5">
        <v>0</v>
      </c>
      <c r="E1017" s="5">
        <v>0</v>
      </c>
    </row>
    <row r="1018" spans="1:5">
      <c r="A1018" s="4" t="str">
        <f>"20228013425"</f>
        <v>20228013425</v>
      </c>
      <c r="B1018" s="4" t="str">
        <f t="shared" si="16"/>
        <v>20220304</v>
      </c>
      <c r="C1018" s="5">
        <v>0</v>
      </c>
      <c r="D1018" s="5">
        <v>0</v>
      </c>
      <c r="E1018" s="5">
        <v>0</v>
      </c>
    </row>
    <row r="1019" spans="1:5">
      <c r="A1019" s="4" t="str">
        <f>"20228013426"</f>
        <v>20228013426</v>
      </c>
      <c r="B1019" s="4" t="str">
        <f t="shared" si="16"/>
        <v>20220304</v>
      </c>
      <c r="C1019" s="5">
        <v>88.2</v>
      </c>
      <c r="D1019" s="5">
        <v>80.2</v>
      </c>
      <c r="E1019" s="5">
        <v>83.4</v>
      </c>
    </row>
    <row r="1020" spans="1:5">
      <c r="A1020" s="4" t="str">
        <f>"20228013427"</f>
        <v>20228013427</v>
      </c>
      <c r="B1020" s="4" t="str">
        <f t="shared" si="16"/>
        <v>20220304</v>
      </c>
      <c r="C1020" s="5">
        <v>0</v>
      </c>
      <c r="D1020" s="5">
        <v>0</v>
      </c>
      <c r="E1020" s="5">
        <v>0</v>
      </c>
    </row>
    <row r="1021" spans="1:5">
      <c r="A1021" s="4" t="str">
        <f>"20228013428"</f>
        <v>20228013428</v>
      </c>
      <c r="B1021" s="4" t="str">
        <f t="shared" si="16"/>
        <v>20220304</v>
      </c>
      <c r="C1021" s="5">
        <v>94.1</v>
      </c>
      <c r="D1021" s="5">
        <v>74.7</v>
      </c>
      <c r="E1021" s="5">
        <v>82.46</v>
      </c>
    </row>
    <row r="1022" spans="1:5">
      <c r="A1022" s="4" t="str">
        <f>"20228013429"</f>
        <v>20228013429</v>
      </c>
      <c r="B1022" s="4" t="str">
        <f t="shared" si="16"/>
        <v>20220304</v>
      </c>
      <c r="C1022" s="5">
        <v>0</v>
      </c>
      <c r="D1022" s="5">
        <v>0</v>
      </c>
      <c r="E1022" s="5">
        <v>0</v>
      </c>
    </row>
    <row r="1023" spans="1:5">
      <c r="A1023" s="4" t="str">
        <f>"20228013430"</f>
        <v>20228013430</v>
      </c>
      <c r="B1023" s="4" t="str">
        <f t="shared" si="16"/>
        <v>20220304</v>
      </c>
      <c r="C1023" s="5">
        <v>0</v>
      </c>
      <c r="D1023" s="5">
        <v>0</v>
      </c>
      <c r="E1023" s="5">
        <v>0</v>
      </c>
    </row>
    <row r="1024" spans="1:5">
      <c r="A1024" s="4" t="str">
        <f>"20228013501"</f>
        <v>20228013501</v>
      </c>
      <c r="B1024" s="4" t="str">
        <f t="shared" si="16"/>
        <v>20220304</v>
      </c>
      <c r="C1024" s="5">
        <v>83.1</v>
      </c>
      <c r="D1024" s="5">
        <v>84.2</v>
      </c>
      <c r="E1024" s="5">
        <v>83.76</v>
      </c>
    </row>
    <row r="1025" spans="1:5">
      <c r="A1025" s="4" t="str">
        <f>"20228013502"</f>
        <v>20228013502</v>
      </c>
      <c r="B1025" s="4" t="str">
        <f t="shared" si="16"/>
        <v>20220304</v>
      </c>
      <c r="C1025" s="5">
        <v>86.4</v>
      </c>
      <c r="D1025" s="5">
        <v>81.1</v>
      </c>
      <c r="E1025" s="5">
        <v>83.22</v>
      </c>
    </row>
    <row r="1026" spans="1:5">
      <c r="A1026" s="4" t="str">
        <f>"20228013503"</f>
        <v>20228013503</v>
      </c>
      <c r="B1026" s="4" t="str">
        <f t="shared" si="16"/>
        <v>20220304</v>
      </c>
      <c r="C1026" s="5">
        <v>91.4</v>
      </c>
      <c r="D1026" s="5">
        <v>87.8</v>
      </c>
      <c r="E1026" s="5">
        <v>89.24</v>
      </c>
    </row>
    <row r="1027" spans="1:5">
      <c r="A1027" s="4" t="str">
        <f>"20228013504"</f>
        <v>20228013504</v>
      </c>
      <c r="B1027" s="4" t="str">
        <f t="shared" si="16"/>
        <v>20220304</v>
      </c>
      <c r="C1027" s="5">
        <v>0</v>
      </c>
      <c r="D1027" s="5">
        <v>0</v>
      </c>
      <c r="E1027" s="5">
        <v>0</v>
      </c>
    </row>
    <row r="1028" spans="1:5">
      <c r="A1028" s="4" t="str">
        <f>"20228013505"</f>
        <v>20228013505</v>
      </c>
      <c r="B1028" s="4" t="str">
        <f t="shared" si="16"/>
        <v>20220304</v>
      </c>
      <c r="C1028" s="5">
        <v>96.8</v>
      </c>
      <c r="D1028" s="5">
        <v>78.9</v>
      </c>
      <c r="E1028" s="5">
        <v>86.06</v>
      </c>
    </row>
    <row r="1029" spans="1:5">
      <c r="A1029" s="4" t="str">
        <f>"20228013506"</f>
        <v>20228013506</v>
      </c>
      <c r="B1029" s="4" t="str">
        <f t="shared" si="16"/>
        <v>20220304</v>
      </c>
      <c r="C1029" s="5">
        <v>0</v>
      </c>
      <c r="D1029" s="5">
        <v>0</v>
      </c>
      <c r="E1029" s="5">
        <v>0</v>
      </c>
    </row>
    <row r="1030" spans="1:5">
      <c r="A1030" s="4" t="str">
        <f>"20228013507"</f>
        <v>20228013507</v>
      </c>
      <c r="B1030" s="4" t="str">
        <f t="shared" si="16"/>
        <v>20220304</v>
      </c>
      <c r="C1030" s="5">
        <v>89.8</v>
      </c>
      <c r="D1030" s="5">
        <v>91.8</v>
      </c>
      <c r="E1030" s="5">
        <v>91</v>
      </c>
    </row>
    <row r="1031" spans="1:5">
      <c r="A1031" s="4" t="str">
        <f>"20228013508"</f>
        <v>20228013508</v>
      </c>
      <c r="B1031" s="4" t="str">
        <f t="shared" si="16"/>
        <v>20220304</v>
      </c>
      <c r="C1031" s="5">
        <v>93.2</v>
      </c>
      <c r="D1031" s="5">
        <v>93.7</v>
      </c>
      <c r="E1031" s="5">
        <v>93.5</v>
      </c>
    </row>
    <row r="1032" spans="1:5">
      <c r="A1032" s="4" t="str">
        <f>"20228013509"</f>
        <v>20228013509</v>
      </c>
      <c r="B1032" s="4" t="str">
        <f t="shared" si="16"/>
        <v>20220304</v>
      </c>
      <c r="C1032" s="5">
        <v>105.7</v>
      </c>
      <c r="D1032" s="5">
        <v>92</v>
      </c>
      <c r="E1032" s="5">
        <v>97.48</v>
      </c>
    </row>
    <row r="1033" spans="1:5">
      <c r="A1033" s="4" t="str">
        <f>"20228013510"</f>
        <v>20228013510</v>
      </c>
      <c r="B1033" s="4" t="str">
        <f t="shared" si="16"/>
        <v>20220304</v>
      </c>
      <c r="C1033" s="5">
        <v>88.1</v>
      </c>
      <c r="D1033" s="5">
        <v>90</v>
      </c>
      <c r="E1033" s="5">
        <v>89.24</v>
      </c>
    </row>
    <row r="1034" spans="1:5">
      <c r="A1034" s="4" t="str">
        <f>"20228013511"</f>
        <v>20228013511</v>
      </c>
      <c r="B1034" s="4" t="str">
        <f t="shared" si="16"/>
        <v>20220304</v>
      </c>
      <c r="C1034" s="5">
        <v>0</v>
      </c>
      <c r="D1034" s="5">
        <v>0</v>
      </c>
      <c r="E1034" s="5">
        <v>0</v>
      </c>
    </row>
    <row r="1035" spans="1:5">
      <c r="A1035" s="4" t="str">
        <f>"20228013512"</f>
        <v>20228013512</v>
      </c>
      <c r="B1035" s="4" t="str">
        <f t="shared" si="16"/>
        <v>20220304</v>
      </c>
      <c r="C1035" s="5">
        <v>0</v>
      </c>
      <c r="D1035" s="5">
        <v>0</v>
      </c>
      <c r="E1035" s="5">
        <v>0</v>
      </c>
    </row>
    <row r="1036" spans="1:5">
      <c r="A1036" s="4" t="str">
        <f>"20228013513"</f>
        <v>20228013513</v>
      </c>
      <c r="B1036" s="4" t="str">
        <f t="shared" si="16"/>
        <v>20220304</v>
      </c>
      <c r="C1036" s="5">
        <v>86.1</v>
      </c>
      <c r="D1036" s="5">
        <v>84.7</v>
      </c>
      <c r="E1036" s="5">
        <v>85.26</v>
      </c>
    </row>
    <row r="1037" spans="1:5">
      <c r="A1037" s="4" t="str">
        <f>"20228013514"</f>
        <v>20228013514</v>
      </c>
      <c r="B1037" s="4" t="str">
        <f t="shared" si="16"/>
        <v>20220304</v>
      </c>
      <c r="C1037" s="5">
        <v>101.9</v>
      </c>
      <c r="D1037" s="5">
        <v>98.1</v>
      </c>
      <c r="E1037" s="5">
        <v>99.62</v>
      </c>
    </row>
    <row r="1038" spans="1:5">
      <c r="A1038" s="4" t="str">
        <f>"20228013515"</f>
        <v>20228013515</v>
      </c>
      <c r="B1038" s="4" t="str">
        <f t="shared" si="16"/>
        <v>20220304</v>
      </c>
      <c r="C1038" s="5">
        <v>103.1</v>
      </c>
      <c r="D1038" s="5">
        <v>104.8</v>
      </c>
      <c r="E1038" s="5">
        <v>104.12</v>
      </c>
    </row>
    <row r="1039" spans="1:5">
      <c r="A1039" s="4" t="str">
        <f>"20228013516"</f>
        <v>20228013516</v>
      </c>
      <c r="B1039" s="4" t="str">
        <f t="shared" si="16"/>
        <v>20220304</v>
      </c>
      <c r="C1039" s="5">
        <v>0</v>
      </c>
      <c r="D1039" s="5">
        <v>0</v>
      </c>
      <c r="E1039" s="5">
        <v>0</v>
      </c>
    </row>
    <row r="1040" spans="1:5">
      <c r="A1040" s="4" t="str">
        <f>"20228013517"</f>
        <v>20228013517</v>
      </c>
      <c r="B1040" s="4" t="str">
        <f t="shared" si="16"/>
        <v>20220304</v>
      </c>
      <c r="C1040" s="5">
        <v>87.5</v>
      </c>
      <c r="D1040" s="5">
        <v>83.1</v>
      </c>
      <c r="E1040" s="5">
        <v>84.86</v>
      </c>
    </row>
    <row r="1041" spans="1:5">
      <c r="A1041" s="4" t="str">
        <f>"20228013518"</f>
        <v>20228013518</v>
      </c>
      <c r="B1041" s="4" t="str">
        <f t="shared" si="16"/>
        <v>20220304</v>
      </c>
      <c r="C1041" s="5">
        <v>105.3</v>
      </c>
      <c r="D1041" s="5">
        <v>84</v>
      </c>
      <c r="E1041" s="5">
        <v>92.52</v>
      </c>
    </row>
    <row r="1042" spans="1:5">
      <c r="A1042" s="4" t="str">
        <f>"20228013519"</f>
        <v>20228013519</v>
      </c>
      <c r="B1042" s="4" t="str">
        <f t="shared" si="16"/>
        <v>20220304</v>
      </c>
      <c r="C1042" s="5">
        <v>83.7</v>
      </c>
      <c r="D1042" s="5">
        <v>69.3</v>
      </c>
      <c r="E1042" s="5">
        <v>75.06</v>
      </c>
    </row>
    <row r="1043" spans="1:5">
      <c r="A1043" s="4" t="str">
        <f>"20228013520"</f>
        <v>20228013520</v>
      </c>
      <c r="B1043" s="4" t="str">
        <f t="shared" si="16"/>
        <v>20220304</v>
      </c>
      <c r="C1043" s="5">
        <v>0</v>
      </c>
      <c r="D1043" s="5">
        <v>0</v>
      </c>
      <c r="E1043" s="5">
        <v>0</v>
      </c>
    </row>
    <row r="1044" spans="1:5">
      <c r="A1044" s="4" t="str">
        <f>"20228013521"</f>
        <v>20228013521</v>
      </c>
      <c r="B1044" s="4" t="str">
        <f t="shared" si="16"/>
        <v>20220304</v>
      </c>
      <c r="C1044" s="5">
        <v>0</v>
      </c>
      <c r="D1044" s="5">
        <v>0</v>
      </c>
      <c r="E1044" s="5">
        <v>0</v>
      </c>
    </row>
    <row r="1045" spans="1:5">
      <c r="A1045" s="4" t="str">
        <f>"20228013522"</f>
        <v>20228013522</v>
      </c>
      <c r="B1045" s="4" t="str">
        <f t="shared" si="16"/>
        <v>20220304</v>
      </c>
      <c r="C1045" s="5">
        <v>77.9</v>
      </c>
      <c r="D1045" s="5">
        <v>78.5</v>
      </c>
      <c r="E1045" s="5">
        <v>78.26</v>
      </c>
    </row>
    <row r="1046" spans="1:5">
      <c r="A1046" s="4" t="str">
        <f>"20228013523"</f>
        <v>20228013523</v>
      </c>
      <c r="B1046" s="4" t="str">
        <f t="shared" si="16"/>
        <v>20220304</v>
      </c>
      <c r="C1046" s="5">
        <v>0</v>
      </c>
      <c r="D1046" s="5">
        <v>0</v>
      </c>
      <c r="E1046" s="5">
        <v>0</v>
      </c>
    </row>
    <row r="1047" spans="1:5">
      <c r="A1047" s="4" t="str">
        <f>"20228013524"</f>
        <v>20228013524</v>
      </c>
      <c r="B1047" s="4" t="str">
        <f t="shared" si="16"/>
        <v>20220304</v>
      </c>
      <c r="C1047" s="5">
        <v>83.5</v>
      </c>
      <c r="D1047" s="5">
        <v>97.4</v>
      </c>
      <c r="E1047" s="5">
        <v>91.84</v>
      </c>
    </row>
    <row r="1048" spans="1:5">
      <c r="A1048" s="4" t="str">
        <f>"20228013525"</f>
        <v>20228013525</v>
      </c>
      <c r="B1048" s="4" t="str">
        <f t="shared" si="16"/>
        <v>20220304</v>
      </c>
      <c r="C1048" s="5">
        <v>0</v>
      </c>
      <c r="D1048" s="5">
        <v>0</v>
      </c>
      <c r="E1048" s="5">
        <v>0</v>
      </c>
    </row>
    <row r="1049" spans="1:5">
      <c r="A1049" s="4" t="str">
        <f>"20228013526"</f>
        <v>20228013526</v>
      </c>
      <c r="B1049" s="4" t="str">
        <f t="shared" si="16"/>
        <v>20220304</v>
      </c>
      <c r="C1049" s="5">
        <v>0</v>
      </c>
      <c r="D1049" s="5">
        <v>0</v>
      </c>
      <c r="E1049" s="5">
        <v>0</v>
      </c>
    </row>
    <row r="1050" spans="1:5">
      <c r="A1050" s="4" t="str">
        <f>"20228013527"</f>
        <v>20228013527</v>
      </c>
      <c r="B1050" s="4" t="str">
        <f t="shared" si="16"/>
        <v>20220304</v>
      </c>
      <c r="C1050" s="5">
        <v>86.8</v>
      </c>
      <c r="D1050" s="5">
        <v>74.2</v>
      </c>
      <c r="E1050" s="5">
        <v>79.24</v>
      </c>
    </row>
    <row r="1051" spans="1:5">
      <c r="A1051" s="4" t="str">
        <f>"20228013528"</f>
        <v>20228013528</v>
      </c>
      <c r="B1051" s="4" t="str">
        <f t="shared" si="16"/>
        <v>20220304</v>
      </c>
      <c r="C1051" s="5">
        <v>0</v>
      </c>
      <c r="D1051" s="5">
        <v>0</v>
      </c>
      <c r="E1051" s="5">
        <v>0</v>
      </c>
    </row>
    <row r="1052" spans="1:5">
      <c r="A1052" s="4" t="str">
        <f>"20228013529"</f>
        <v>20228013529</v>
      </c>
      <c r="B1052" s="4" t="str">
        <f t="shared" si="16"/>
        <v>20220304</v>
      </c>
      <c r="C1052" s="5">
        <v>100.5</v>
      </c>
      <c r="D1052" s="5">
        <v>82.9</v>
      </c>
      <c r="E1052" s="5">
        <v>89.94</v>
      </c>
    </row>
    <row r="1053" spans="1:5">
      <c r="A1053" s="4" t="str">
        <f>"20228013530"</f>
        <v>20228013530</v>
      </c>
      <c r="B1053" s="4" t="str">
        <f t="shared" si="16"/>
        <v>20220304</v>
      </c>
      <c r="C1053" s="5">
        <v>97.4</v>
      </c>
      <c r="D1053" s="5">
        <v>98.5</v>
      </c>
      <c r="E1053" s="5">
        <v>98.06</v>
      </c>
    </row>
    <row r="1054" spans="1:5">
      <c r="A1054" s="4" t="str">
        <f>"20228013601"</f>
        <v>20228013601</v>
      </c>
      <c r="B1054" s="4" t="str">
        <f t="shared" si="16"/>
        <v>20220304</v>
      </c>
      <c r="C1054" s="5">
        <v>100.6</v>
      </c>
      <c r="D1054" s="5">
        <v>85.9</v>
      </c>
      <c r="E1054" s="5">
        <v>91.78</v>
      </c>
    </row>
    <row r="1055" spans="1:5">
      <c r="A1055" s="4" t="str">
        <f>"20228013602"</f>
        <v>20228013602</v>
      </c>
      <c r="B1055" s="4" t="str">
        <f t="shared" si="16"/>
        <v>20220304</v>
      </c>
      <c r="C1055" s="5">
        <v>91</v>
      </c>
      <c r="D1055" s="5">
        <v>70.5</v>
      </c>
      <c r="E1055" s="5">
        <v>78.7</v>
      </c>
    </row>
    <row r="1056" spans="1:5">
      <c r="A1056" s="4" t="str">
        <f>"20228013603"</f>
        <v>20228013603</v>
      </c>
      <c r="B1056" s="4" t="str">
        <f t="shared" si="16"/>
        <v>20220304</v>
      </c>
      <c r="C1056" s="5">
        <v>99.4</v>
      </c>
      <c r="D1056" s="5">
        <v>93.3</v>
      </c>
      <c r="E1056" s="5">
        <v>95.74</v>
      </c>
    </row>
    <row r="1057" spans="1:5">
      <c r="A1057" s="4" t="str">
        <f>"20228013604"</f>
        <v>20228013604</v>
      </c>
      <c r="B1057" s="4" t="str">
        <f t="shared" si="16"/>
        <v>20220304</v>
      </c>
      <c r="C1057" s="5">
        <v>99.4</v>
      </c>
      <c r="D1057" s="5">
        <v>81.3</v>
      </c>
      <c r="E1057" s="5">
        <v>88.54</v>
      </c>
    </row>
    <row r="1058" spans="1:5">
      <c r="A1058" s="4" t="str">
        <f>"20228013605"</f>
        <v>20228013605</v>
      </c>
      <c r="B1058" s="4" t="str">
        <f t="shared" si="16"/>
        <v>20220304</v>
      </c>
      <c r="C1058" s="5">
        <v>96.8</v>
      </c>
      <c r="D1058" s="5">
        <v>91.9</v>
      </c>
      <c r="E1058" s="5">
        <v>93.86</v>
      </c>
    </row>
    <row r="1059" spans="1:5">
      <c r="A1059" s="4" t="str">
        <f>"20228013606"</f>
        <v>20228013606</v>
      </c>
      <c r="B1059" s="4" t="str">
        <f t="shared" si="16"/>
        <v>20220304</v>
      </c>
      <c r="C1059" s="5">
        <v>0</v>
      </c>
      <c r="D1059" s="5">
        <v>0</v>
      </c>
      <c r="E1059" s="5">
        <v>0</v>
      </c>
    </row>
    <row r="1060" spans="1:5">
      <c r="A1060" s="4" t="str">
        <f>"20228013607"</f>
        <v>20228013607</v>
      </c>
      <c r="B1060" s="4" t="str">
        <f t="shared" si="16"/>
        <v>20220304</v>
      </c>
      <c r="C1060" s="5">
        <v>82.2</v>
      </c>
      <c r="D1060" s="5">
        <v>90.9</v>
      </c>
      <c r="E1060" s="5">
        <v>87.42</v>
      </c>
    </row>
    <row r="1061" spans="1:5">
      <c r="A1061" s="4" t="str">
        <f>"20228013608"</f>
        <v>20228013608</v>
      </c>
      <c r="B1061" s="4" t="str">
        <f t="shared" si="16"/>
        <v>20220304</v>
      </c>
      <c r="C1061" s="5">
        <v>88.6</v>
      </c>
      <c r="D1061" s="5">
        <v>99.3</v>
      </c>
      <c r="E1061" s="5">
        <v>95.02</v>
      </c>
    </row>
    <row r="1062" spans="1:5">
      <c r="A1062" s="4" t="str">
        <f>"20228013609"</f>
        <v>20228013609</v>
      </c>
      <c r="B1062" s="4" t="str">
        <f t="shared" si="16"/>
        <v>20220304</v>
      </c>
      <c r="C1062" s="5">
        <v>96.2</v>
      </c>
      <c r="D1062" s="5">
        <v>77.2</v>
      </c>
      <c r="E1062" s="5">
        <v>84.8</v>
      </c>
    </row>
    <row r="1063" spans="1:5">
      <c r="A1063" s="4" t="str">
        <f>"20228013610"</f>
        <v>20228013610</v>
      </c>
      <c r="B1063" s="4" t="str">
        <f t="shared" si="16"/>
        <v>20220304</v>
      </c>
      <c r="C1063" s="5">
        <v>96.3</v>
      </c>
      <c r="D1063" s="5">
        <v>87.7</v>
      </c>
      <c r="E1063" s="5">
        <v>91.14</v>
      </c>
    </row>
    <row r="1064" spans="1:5">
      <c r="A1064" s="4" t="str">
        <f>"20228013611"</f>
        <v>20228013611</v>
      </c>
      <c r="B1064" s="4" t="str">
        <f t="shared" si="16"/>
        <v>20220304</v>
      </c>
      <c r="C1064" s="5">
        <v>0</v>
      </c>
      <c r="D1064" s="5">
        <v>0</v>
      </c>
      <c r="E1064" s="5">
        <v>0</v>
      </c>
    </row>
    <row r="1065" spans="1:5">
      <c r="A1065" s="4" t="str">
        <f>"20228013612"</f>
        <v>20228013612</v>
      </c>
      <c r="B1065" s="4" t="str">
        <f t="shared" si="16"/>
        <v>20220304</v>
      </c>
      <c r="C1065" s="5">
        <v>102</v>
      </c>
      <c r="D1065" s="5">
        <v>83.8</v>
      </c>
      <c r="E1065" s="5">
        <v>91.08</v>
      </c>
    </row>
    <row r="1066" spans="1:5">
      <c r="A1066" s="4" t="str">
        <f>"20228013613"</f>
        <v>20228013613</v>
      </c>
      <c r="B1066" s="4" t="str">
        <f t="shared" si="16"/>
        <v>20220304</v>
      </c>
      <c r="C1066" s="5">
        <v>105.5</v>
      </c>
      <c r="D1066" s="5">
        <v>99.4</v>
      </c>
      <c r="E1066" s="5">
        <v>101.84</v>
      </c>
    </row>
    <row r="1067" spans="1:5">
      <c r="A1067" s="4" t="str">
        <f>"20228013614"</f>
        <v>20228013614</v>
      </c>
      <c r="B1067" s="4" t="str">
        <f t="shared" ref="B1067:B1130" si="17">"20220304"</f>
        <v>20220304</v>
      </c>
      <c r="C1067" s="5">
        <v>91.9</v>
      </c>
      <c r="D1067" s="5">
        <v>91.3</v>
      </c>
      <c r="E1067" s="5">
        <v>91.54</v>
      </c>
    </row>
    <row r="1068" spans="1:5">
      <c r="A1068" s="4" t="str">
        <f>"20228013615"</f>
        <v>20228013615</v>
      </c>
      <c r="B1068" s="4" t="str">
        <f t="shared" si="17"/>
        <v>20220304</v>
      </c>
      <c r="C1068" s="5">
        <v>90.9</v>
      </c>
      <c r="D1068" s="5">
        <v>90.6</v>
      </c>
      <c r="E1068" s="5">
        <v>90.72</v>
      </c>
    </row>
    <row r="1069" spans="1:5">
      <c r="A1069" s="4" t="str">
        <f>"20228013616"</f>
        <v>20228013616</v>
      </c>
      <c r="B1069" s="4" t="str">
        <f t="shared" si="17"/>
        <v>20220304</v>
      </c>
      <c r="C1069" s="5">
        <v>0</v>
      </c>
      <c r="D1069" s="5">
        <v>0</v>
      </c>
      <c r="E1069" s="5">
        <v>0</v>
      </c>
    </row>
    <row r="1070" spans="1:5">
      <c r="A1070" s="4" t="str">
        <f>"20228013617"</f>
        <v>20228013617</v>
      </c>
      <c r="B1070" s="4" t="str">
        <f t="shared" si="17"/>
        <v>20220304</v>
      </c>
      <c r="C1070" s="5">
        <v>0</v>
      </c>
      <c r="D1070" s="5">
        <v>0</v>
      </c>
      <c r="E1070" s="5">
        <v>0</v>
      </c>
    </row>
    <row r="1071" spans="1:5">
      <c r="A1071" s="4" t="str">
        <f>"20228013618"</f>
        <v>20228013618</v>
      </c>
      <c r="B1071" s="4" t="str">
        <f t="shared" si="17"/>
        <v>20220304</v>
      </c>
      <c r="C1071" s="5">
        <v>0</v>
      </c>
      <c r="D1071" s="5">
        <v>0</v>
      </c>
      <c r="E1071" s="5">
        <v>0</v>
      </c>
    </row>
    <row r="1072" spans="1:5">
      <c r="A1072" s="4" t="str">
        <f>"20228013619"</f>
        <v>20228013619</v>
      </c>
      <c r="B1072" s="4" t="str">
        <f t="shared" si="17"/>
        <v>20220304</v>
      </c>
      <c r="C1072" s="5">
        <v>68.2</v>
      </c>
      <c r="D1072" s="5">
        <v>68.3</v>
      </c>
      <c r="E1072" s="5">
        <v>68.26</v>
      </c>
    </row>
    <row r="1073" spans="1:5">
      <c r="A1073" s="4" t="str">
        <f>"20228013620"</f>
        <v>20228013620</v>
      </c>
      <c r="B1073" s="4" t="str">
        <f t="shared" si="17"/>
        <v>20220304</v>
      </c>
      <c r="C1073" s="5">
        <v>104.2</v>
      </c>
      <c r="D1073" s="5">
        <v>102.4</v>
      </c>
      <c r="E1073" s="5">
        <v>103.12</v>
      </c>
    </row>
    <row r="1074" spans="1:5">
      <c r="A1074" s="4" t="str">
        <f>"20228013621"</f>
        <v>20228013621</v>
      </c>
      <c r="B1074" s="4" t="str">
        <f t="shared" si="17"/>
        <v>20220304</v>
      </c>
      <c r="C1074" s="5">
        <v>0</v>
      </c>
      <c r="D1074" s="5">
        <v>0</v>
      </c>
      <c r="E1074" s="5">
        <v>0</v>
      </c>
    </row>
    <row r="1075" spans="1:5">
      <c r="A1075" s="4" t="str">
        <f>"20228013622"</f>
        <v>20228013622</v>
      </c>
      <c r="B1075" s="4" t="str">
        <f t="shared" si="17"/>
        <v>20220304</v>
      </c>
      <c r="C1075" s="5">
        <v>0</v>
      </c>
      <c r="D1075" s="5">
        <v>0</v>
      </c>
      <c r="E1075" s="5">
        <v>0</v>
      </c>
    </row>
    <row r="1076" spans="1:5">
      <c r="A1076" s="4" t="str">
        <f>"20228013623"</f>
        <v>20228013623</v>
      </c>
      <c r="B1076" s="4" t="str">
        <f t="shared" si="17"/>
        <v>20220304</v>
      </c>
      <c r="C1076" s="5">
        <v>91.8</v>
      </c>
      <c r="D1076" s="5">
        <v>93.2</v>
      </c>
      <c r="E1076" s="5">
        <v>92.64</v>
      </c>
    </row>
    <row r="1077" spans="1:5">
      <c r="A1077" s="4" t="str">
        <f>"20228013624"</f>
        <v>20228013624</v>
      </c>
      <c r="B1077" s="4" t="str">
        <f t="shared" si="17"/>
        <v>20220304</v>
      </c>
      <c r="C1077" s="5">
        <v>98.3</v>
      </c>
      <c r="D1077" s="5">
        <v>88.7</v>
      </c>
      <c r="E1077" s="5">
        <v>92.54</v>
      </c>
    </row>
    <row r="1078" spans="1:5">
      <c r="A1078" s="4" t="str">
        <f>"20228013625"</f>
        <v>20228013625</v>
      </c>
      <c r="B1078" s="4" t="str">
        <f t="shared" si="17"/>
        <v>20220304</v>
      </c>
      <c r="C1078" s="5">
        <v>95.6</v>
      </c>
      <c r="D1078" s="5">
        <v>88.8</v>
      </c>
      <c r="E1078" s="5">
        <v>91.52</v>
      </c>
    </row>
    <row r="1079" spans="1:5">
      <c r="A1079" s="4" t="str">
        <f>"20228013626"</f>
        <v>20228013626</v>
      </c>
      <c r="B1079" s="4" t="str">
        <f t="shared" si="17"/>
        <v>20220304</v>
      </c>
      <c r="C1079" s="5">
        <v>0</v>
      </c>
      <c r="D1079" s="5">
        <v>0</v>
      </c>
      <c r="E1079" s="5">
        <v>0</v>
      </c>
    </row>
    <row r="1080" spans="1:5">
      <c r="A1080" s="4" t="str">
        <f>"20228013627"</f>
        <v>20228013627</v>
      </c>
      <c r="B1080" s="4" t="str">
        <f t="shared" si="17"/>
        <v>20220304</v>
      </c>
      <c r="C1080" s="5">
        <v>99.6</v>
      </c>
      <c r="D1080" s="5">
        <v>87.2</v>
      </c>
      <c r="E1080" s="5">
        <v>92.16</v>
      </c>
    </row>
    <row r="1081" spans="1:5">
      <c r="A1081" s="4" t="str">
        <f>"20228013628"</f>
        <v>20228013628</v>
      </c>
      <c r="B1081" s="4" t="str">
        <f t="shared" si="17"/>
        <v>20220304</v>
      </c>
      <c r="C1081" s="5">
        <v>96.2</v>
      </c>
      <c r="D1081" s="5">
        <v>72.4</v>
      </c>
      <c r="E1081" s="5">
        <v>81.92</v>
      </c>
    </row>
    <row r="1082" spans="1:5">
      <c r="A1082" s="4" t="str">
        <f>"20228013629"</f>
        <v>20228013629</v>
      </c>
      <c r="B1082" s="4" t="str">
        <f t="shared" si="17"/>
        <v>20220304</v>
      </c>
      <c r="C1082" s="5">
        <v>0</v>
      </c>
      <c r="D1082" s="5">
        <v>0</v>
      </c>
      <c r="E1082" s="5">
        <v>0</v>
      </c>
    </row>
    <row r="1083" spans="1:5">
      <c r="A1083" s="4" t="str">
        <f>"20228013630"</f>
        <v>20228013630</v>
      </c>
      <c r="B1083" s="4" t="str">
        <f t="shared" si="17"/>
        <v>20220304</v>
      </c>
      <c r="C1083" s="5">
        <v>102.4</v>
      </c>
      <c r="D1083" s="5">
        <v>99.9</v>
      </c>
      <c r="E1083" s="5">
        <v>100.9</v>
      </c>
    </row>
    <row r="1084" spans="1:5">
      <c r="A1084" s="4" t="str">
        <f>"20228013701"</f>
        <v>20228013701</v>
      </c>
      <c r="B1084" s="4" t="str">
        <f t="shared" si="17"/>
        <v>20220304</v>
      </c>
      <c r="C1084" s="5">
        <v>75.1</v>
      </c>
      <c r="D1084" s="5">
        <v>76.8</v>
      </c>
      <c r="E1084" s="5">
        <v>76.12</v>
      </c>
    </row>
    <row r="1085" spans="1:5">
      <c r="A1085" s="4" t="str">
        <f>"20228013702"</f>
        <v>20228013702</v>
      </c>
      <c r="B1085" s="4" t="str">
        <f t="shared" si="17"/>
        <v>20220304</v>
      </c>
      <c r="C1085" s="5">
        <v>73.8</v>
      </c>
      <c r="D1085" s="5">
        <v>82.4</v>
      </c>
      <c r="E1085" s="5">
        <v>78.96</v>
      </c>
    </row>
    <row r="1086" spans="1:5">
      <c r="A1086" s="4" t="str">
        <f>"20228013703"</f>
        <v>20228013703</v>
      </c>
      <c r="B1086" s="4" t="str">
        <f t="shared" si="17"/>
        <v>20220304</v>
      </c>
      <c r="C1086" s="5">
        <v>102.2</v>
      </c>
      <c r="D1086" s="5">
        <v>91.8</v>
      </c>
      <c r="E1086" s="5">
        <v>95.96</v>
      </c>
    </row>
    <row r="1087" spans="1:5">
      <c r="A1087" s="4" t="str">
        <f>"20228013704"</f>
        <v>20228013704</v>
      </c>
      <c r="B1087" s="4" t="str">
        <f t="shared" si="17"/>
        <v>20220304</v>
      </c>
      <c r="C1087" s="5">
        <v>0</v>
      </c>
      <c r="D1087" s="5">
        <v>0</v>
      </c>
      <c r="E1087" s="5">
        <v>0</v>
      </c>
    </row>
    <row r="1088" spans="1:5">
      <c r="A1088" s="4" t="str">
        <f>"20228013705"</f>
        <v>20228013705</v>
      </c>
      <c r="B1088" s="4" t="str">
        <f t="shared" si="17"/>
        <v>20220304</v>
      </c>
      <c r="C1088" s="5">
        <v>0</v>
      </c>
      <c r="D1088" s="5">
        <v>0</v>
      </c>
      <c r="E1088" s="5">
        <v>0</v>
      </c>
    </row>
    <row r="1089" spans="1:5">
      <c r="A1089" s="4" t="str">
        <f>"20228013706"</f>
        <v>20228013706</v>
      </c>
      <c r="B1089" s="4" t="str">
        <f t="shared" si="17"/>
        <v>20220304</v>
      </c>
      <c r="C1089" s="5">
        <v>0</v>
      </c>
      <c r="D1089" s="5">
        <v>0</v>
      </c>
      <c r="E1089" s="5">
        <v>0</v>
      </c>
    </row>
    <row r="1090" spans="1:5">
      <c r="A1090" s="4" t="str">
        <f>"20228013707"</f>
        <v>20228013707</v>
      </c>
      <c r="B1090" s="4" t="str">
        <f t="shared" si="17"/>
        <v>20220304</v>
      </c>
      <c r="C1090" s="5">
        <v>101.3</v>
      </c>
      <c r="D1090" s="5">
        <v>95.4</v>
      </c>
      <c r="E1090" s="5">
        <v>97.76</v>
      </c>
    </row>
    <row r="1091" spans="1:5">
      <c r="A1091" s="4" t="str">
        <f>"20228013708"</f>
        <v>20228013708</v>
      </c>
      <c r="B1091" s="4" t="str">
        <f t="shared" si="17"/>
        <v>20220304</v>
      </c>
      <c r="C1091" s="5">
        <v>0</v>
      </c>
      <c r="D1091" s="5">
        <v>0</v>
      </c>
      <c r="E1091" s="5">
        <v>0</v>
      </c>
    </row>
    <row r="1092" spans="1:5">
      <c r="A1092" s="4" t="str">
        <f>"20228013709"</f>
        <v>20228013709</v>
      </c>
      <c r="B1092" s="4" t="str">
        <f t="shared" si="17"/>
        <v>20220304</v>
      </c>
      <c r="C1092" s="5">
        <v>0</v>
      </c>
      <c r="D1092" s="5">
        <v>0</v>
      </c>
      <c r="E1092" s="5">
        <v>0</v>
      </c>
    </row>
    <row r="1093" spans="1:5">
      <c r="A1093" s="4" t="str">
        <f>"20228013710"</f>
        <v>20228013710</v>
      </c>
      <c r="B1093" s="4" t="str">
        <f t="shared" si="17"/>
        <v>20220304</v>
      </c>
      <c r="C1093" s="5">
        <v>95.4</v>
      </c>
      <c r="D1093" s="5">
        <v>93.2</v>
      </c>
      <c r="E1093" s="5">
        <v>94.08</v>
      </c>
    </row>
    <row r="1094" spans="1:5">
      <c r="A1094" s="4" t="str">
        <f>"20228013711"</f>
        <v>20228013711</v>
      </c>
      <c r="B1094" s="4" t="str">
        <f t="shared" si="17"/>
        <v>20220304</v>
      </c>
      <c r="C1094" s="5">
        <v>81</v>
      </c>
      <c r="D1094" s="5">
        <v>79.2</v>
      </c>
      <c r="E1094" s="5">
        <v>79.92</v>
      </c>
    </row>
    <row r="1095" spans="1:5">
      <c r="A1095" s="4" t="str">
        <f>"20228013712"</f>
        <v>20228013712</v>
      </c>
      <c r="B1095" s="4" t="str">
        <f t="shared" si="17"/>
        <v>20220304</v>
      </c>
      <c r="C1095" s="5">
        <v>74.4</v>
      </c>
      <c r="D1095" s="5">
        <v>79.8</v>
      </c>
      <c r="E1095" s="5">
        <v>77.64</v>
      </c>
    </row>
    <row r="1096" spans="1:5">
      <c r="A1096" s="4" t="str">
        <f>"20228013713"</f>
        <v>20228013713</v>
      </c>
      <c r="B1096" s="4" t="str">
        <f t="shared" si="17"/>
        <v>20220304</v>
      </c>
      <c r="C1096" s="5">
        <v>0</v>
      </c>
      <c r="D1096" s="5">
        <v>0</v>
      </c>
      <c r="E1096" s="5">
        <v>0</v>
      </c>
    </row>
    <row r="1097" spans="1:5">
      <c r="A1097" s="4" t="str">
        <f>"20228013714"</f>
        <v>20228013714</v>
      </c>
      <c r="B1097" s="4" t="str">
        <f t="shared" si="17"/>
        <v>20220304</v>
      </c>
      <c r="C1097" s="5">
        <v>0</v>
      </c>
      <c r="D1097" s="5">
        <v>0</v>
      </c>
      <c r="E1097" s="5">
        <v>0</v>
      </c>
    </row>
    <row r="1098" spans="1:5">
      <c r="A1098" s="4" t="str">
        <f>"20228013715"</f>
        <v>20228013715</v>
      </c>
      <c r="B1098" s="4" t="str">
        <f t="shared" si="17"/>
        <v>20220304</v>
      </c>
      <c r="C1098" s="5">
        <v>78.5</v>
      </c>
      <c r="D1098" s="5">
        <v>76.6</v>
      </c>
      <c r="E1098" s="5">
        <v>77.36</v>
      </c>
    </row>
    <row r="1099" spans="1:5">
      <c r="A1099" s="4" t="str">
        <f>"20228013716"</f>
        <v>20228013716</v>
      </c>
      <c r="B1099" s="4" t="str">
        <f t="shared" si="17"/>
        <v>20220304</v>
      </c>
      <c r="C1099" s="5">
        <v>93.8</v>
      </c>
      <c r="D1099" s="5">
        <v>95.7</v>
      </c>
      <c r="E1099" s="5">
        <v>94.94</v>
      </c>
    </row>
    <row r="1100" spans="1:5">
      <c r="A1100" s="4" t="str">
        <f>"20228013717"</f>
        <v>20228013717</v>
      </c>
      <c r="B1100" s="4" t="str">
        <f t="shared" si="17"/>
        <v>20220304</v>
      </c>
      <c r="C1100" s="5">
        <v>0</v>
      </c>
      <c r="D1100" s="5">
        <v>0</v>
      </c>
      <c r="E1100" s="5">
        <v>0</v>
      </c>
    </row>
    <row r="1101" spans="1:5">
      <c r="A1101" s="4" t="str">
        <f>"20228013718"</f>
        <v>20228013718</v>
      </c>
      <c r="B1101" s="4" t="str">
        <f t="shared" si="17"/>
        <v>20220304</v>
      </c>
      <c r="C1101" s="5">
        <v>90.6</v>
      </c>
      <c r="D1101" s="5">
        <v>89.5</v>
      </c>
      <c r="E1101" s="5">
        <v>89.94</v>
      </c>
    </row>
    <row r="1102" spans="1:5">
      <c r="A1102" s="4" t="str">
        <f>"20228013719"</f>
        <v>20228013719</v>
      </c>
      <c r="B1102" s="4" t="str">
        <f t="shared" si="17"/>
        <v>20220304</v>
      </c>
      <c r="C1102" s="5">
        <v>0</v>
      </c>
      <c r="D1102" s="5">
        <v>0</v>
      </c>
      <c r="E1102" s="5">
        <v>0</v>
      </c>
    </row>
    <row r="1103" spans="1:5">
      <c r="A1103" s="4" t="str">
        <f>"20228013720"</f>
        <v>20228013720</v>
      </c>
      <c r="B1103" s="4" t="str">
        <f t="shared" si="17"/>
        <v>20220304</v>
      </c>
      <c r="C1103" s="5">
        <v>90</v>
      </c>
      <c r="D1103" s="5">
        <v>79.9</v>
      </c>
      <c r="E1103" s="5">
        <v>83.94</v>
      </c>
    </row>
    <row r="1104" spans="1:5">
      <c r="A1104" s="4" t="str">
        <f>"20228013721"</f>
        <v>20228013721</v>
      </c>
      <c r="B1104" s="4" t="str">
        <f t="shared" si="17"/>
        <v>20220304</v>
      </c>
      <c r="C1104" s="5">
        <v>87.5</v>
      </c>
      <c r="D1104" s="5">
        <v>87.5</v>
      </c>
      <c r="E1104" s="5">
        <v>87.5</v>
      </c>
    </row>
    <row r="1105" spans="1:5">
      <c r="A1105" s="4" t="str">
        <f>"20228013722"</f>
        <v>20228013722</v>
      </c>
      <c r="B1105" s="4" t="str">
        <f t="shared" si="17"/>
        <v>20220304</v>
      </c>
      <c r="C1105" s="5">
        <v>0</v>
      </c>
      <c r="D1105" s="5">
        <v>0</v>
      </c>
      <c r="E1105" s="5">
        <v>0</v>
      </c>
    </row>
    <row r="1106" spans="1:5">
      <c r="A1106" s="4" t="str">
        <f>"20228013723"</f>
        <v>20228013723</v>
      </c>
      <c r="B1106" s="4" t="str">
        <f t="shared" si="17"/>
        <v>20220304</v>
      </c>
      <c r="C1106" s="5">
        <v>90.6</v>
      </c>
      <c r="D1106" s="5">
        <v>84.3</v>
      </c>
      <c r="E1106" s="5">
        <v>86.82</v>
      </c>
    </row>
    <row r="1107" spans="1:5">
      <c r="A1107" s="4" t="str">
        <f>"20228013724"</f>
        <v>20228013724</v>
      </c>
      <c r="B1107" s="4" t="str">
        <f t="shared" si="17"/>
        <v>20220304</v>
      </c>
      <c r="C1107" s="5">
        <v>97</v>
      </c>
      <c r="D1107" s="5">
        <v>81.6</v>
      </c>
      <c r="E1107" s="5">
        <v>87.76</v>
      </c>
    </row>
    <row r="1108" spans="1:5">
      <c r="A1108" s="4" t="str">
        <f>"20228013725"</f>
        <v>20228013725</v>
      </c>
      <c r="B1108" s="4" t="str">
        <f t="shared" si="17"/>
        <v>20220304</v>
      </c>
      <c r="C1108" s="5">
        <v>0</v>
      </c>
      <c r="D1108" s="5">
        <v>0</v>
      </c>
      <c r="E1108" s="5">
        <v>0</v>
      </c>
    </row>
    <row r="1109" spans="1:5">
      <c r="A1109" s="4" t="str">
        <f>"20228013726"</f>
        <v>20228013726</v>
      </c>
      <c r="B1109" s="4" t="str">
        <f t="shared" si="17"/>
        <v>20220304</v>
      </c>
      <c r="C1109" s="5">
        <v>74.9</v>
      </c>
      <c r="D1109" s="5">
        <v>84.7</v>
      </c>
      <c r="E1109" s="5">
        <v>80.78</v>
      </c>
    </row>
    <row r="1110" spans="1:5">
      <c r="A1110" s="4" t="str">
        <f>"20228013727"</f>
        <v>20228013727</v>
      </c>
      <c r="B1110" s="4" t="str">
        <f t="shared" si="17"/>
        <v>20220304</v>
      </c>
      <c r="C1110" s="5">
        <v>0</v>
      </c>
      <c r="D1110" s="5">
        <v>0</v>
      </c>
      <c r="E1110" s="5">
        <v>0</v>
      </c>
    </row>
    <row r="1111" spans="1:5">
      <c r="A1111" s="4" t="str">
        <f>"20228013728"</f>
        <v>20228013728</v>
      </c>
      <c r="B1111" s="4" t="str">
        <f t="shared" si="17"/>
        <v>20220304</v>
      </c>
      <c r="C1111" s="5">
        <v>89.7</v>
      </c>
      <c r="D1111" s="5">
        <v>96.3</v>
      </c>
      <c r="E1111" s="5">
        <v>93.66</v>
      </c>
    </row>
    <row r="1112" spans="1:5">
      <c r="A1112" s="4" t="str">
        <f>"20228013729"</f>
        <v>20228013729</v>
      </c>
      <c r="B1112" s="4" t="str">
        <f t="shared" si="17"/>
        <v>20220304</v>
      </c>
      <c r="C1112" s="5">
        <v>85.4</v>
      </c>
      <c r="D1112" s="5">
        <v>79.1</v>
      </c>
      <c r="E1112" s="5">
        <v>81.62</v>
      </c>
    </row>
    <row r="1113" spans="1:5">
      <c r="A1113" s="4" t="str">
        <f>"20228013730"</f>
        <v>20228013730</v>
      </c>
      <c r="B1113" s="4" t="str">
        <f t="shared" si="17"/>
        <v>20220304</v>
      </c>
      <c r="C1113" s="5">
        <v>73.2</v>
      </c>
      <c r="D1113" s="5">
        <v>66.1</v>
      </c>
      <c r="E1113" s="5">
        <v>68.94</v>
      </c>
    </row>
    <row r="1114" spans="1:5">
      <c r="A1114" s="4" t="str">
        <f>"20228013801"</f>
        <v>20228013801</v>
      </c>
      <c r="B1114" s="4" t="str">
        <f t="shared" si="17"/>
        <v>20220304</v>
      </c>
      <c r="C1114" s="5">
        <v>70.1</v>
      </c>
      <c r="D1114" s="5">
        <v>65.3</v>
      </c>
      <c r="E1114" s="5">
        <v>67.22</v>
      </c>
    </row>
    <row r="1115" spans="1:5">
      <c r="A1115" s="4" t="str">
        <f>"20228013802"</f>
        <v>20228013802</v>
      </c>
      <c r="B1115" s="4" t="str">
        <f t="shared" si="17"/>
        <v>20220304</v>
      </c>
      <c r="C1115" s="5">
        <v>83.1</v>
      </c>
      <c r="D1115" s="5">
        <v>82</v>
      </c>
      <c r="E1115" s="5">
        <v>82.44</v>
      </c>
    </row>
    <row r="1116" spans="1:5">
      <c r="A1116" s="4" t="str">
        <f>"20228013803"</f>
        <v>20228013803</v>
      </c>
      <c r="B1116" s="4" t="str">
        <f t="shared" si="17"/>
        <v>20220304</v>
      </c>
      <c r="C1116" s="5">
        <v>64.5</v>
      </c>
      <c r="D1116" s="5">
        <v>75.3</v>
      </c>
      <c r="E1116" s="5">
        <v>70.98</v>
      </c>
    </row>
    <row r="1117" spans="1:5">
      <c r="A1117" s="4" t="str">
        <f>"20228013804"</f>
        <v>20228013804</v>
      </c>
      <c r="B1117" s="4" t="str">
        <f t="shared" si="17"/>
        <v>20220304</v>
      </c>
      <c r="C1117" s="5">
        <v>0</v>
      </c>
      <c r="D1117" s="5">
        <v>0</v>
      </c>
      <c r="E1117" s="5">
        <v>0</v>
      </c>
    </row>
    <row r="1118" spans="1:5">
      <c r="A1118" s="4" t="str">
        <f>"20228013805"</f>
        <v>20228013805</v>
      </c>
      <c r="B1118" s="4" t="str">
        <f t="shared" si="17"/>
        <v>20220304</v>
      </c>
      <c r="C1118" s="5">
        <v>0</v>
      </c>
      <c r="D1118" s="5">
        <v>0</v>
      </c>
      <c r="E1118" s="5">
        <v>0</v>
      </c>
    </row>
    <row r="1119" spans="1:5">
      <c r="A1119" s="4" t="str">
        <f>"20228013806"</f>
        <v>20228013806</v>
      </c>
      <c r="B1119" s="4" t="str">
        <f t="shared" si="17"/>
        <v>20220304</v>
      </c>
      <c r="C1119" s="5">
        <v>82.8</v>
      </c>
      <c r="D1119" s="5">
        <v>86.1</v>
      </c>
      <c r="E1119" s="5">
        <v>84.78</v>
      </c>
    </row>
    <row r="1120" spans="1:5">
      <c r="A1120" s="4" t="str">
        <f>"20228013807"</f>
        <v>20228013807</v>
      </c>
      <c r="B1120" s="4" t="str">
        <f t="shared" si="17"/>
        <v>20220304</v>
      </c>
      <c r="C1120" s="5">
        <v>0</v>
      </c>
      <c r="D1120" s="5">
        <v>0</v>
      </c>
      <c r="E1120" s="5">
        <v>0</v>
      </c>
    </row>
    <row r="1121" spans="1:5">
      <c r="A1121" s="4" t="str">
        <f>"20228013808"</f>
        <v>20228013808</v>
      </c>
      <c r="B1121" s="4" t="str">
        <f t="shared" si="17"/>
        <v>20220304</v>
      </c>
      <c r="C1121" s="5">
        <v>0</v>
      </c>
      <c r="D1121" s="5">
        <v>0</v>
      </c>
      <c r="E1121" s="5">
        <v>0</v>
      </c>
    </row>
    <row r="1122" spans="1:5">
      <c r="A1122" s="4" t="str">
        <f>"20228013809"</f>
        <v>20228013809</v>
      </c>
      <c r="B1122" s="4" t="str">
        <f t="shared" si="17"/>
        <v>20220304</v>
      </c>
      <c r="C1122" s="5">
        <v>0</v>
      </c>
      <c r="D1122" s="5">
        <v>0</v>
      </c>
      <c r="E1122" s="5">
        <v>0</v>
      </c>
    </row>
    <row r="1123" spans="1:5">
      <c r="A1123" s="4" t="str">
        <f>"20228013810"</f>
        <v>20228013810</v>
      </c>
      <c r="B1123" s="4" t="str">
        <f t="shared" si="17"/>
        <v>20220304</v>
      </c>
      <c r="C1123" s="5">
        <v>0</v>
      </c>
      <c r="D1123" s="5">
        <v>0</v>
      </c>
      <c r="E1123" s="5">
        <v>0</v>
      </c>
    </row>
    <row r="1124" spans="1:5">
      <c r="A1124" s="4" t="str">
        <f>"20228013811"</f>
        <v>20228013811</v>
      </c>
      <c r="B1124" s="4" t="str">
        <f t="shared" si="17"/>
        <v>20220304</v>
      </c>
      <c r="C1124" s="5">
        <v>0</v>
      </c>
      <c r="D1124" s="5">
        <v>0</v>
      </c>
      <c r="E1124" s="5">
        <v>0</v>
      </c>
    </row>
    <row r="1125" spans="1:5">
      <c r="A1125" s="4" t="str">
        <f>"20228013812"</f>
        <v>20228013812</v>
      </c>
      <c r="B1125" s="4" t="str">
        <f t="shared" si="17"/>
        <v>20220304</v>
      </c>
      <c r="C1125" s="5">
        <v>0</v>
      </c>
      <c r="D1125" s="5">
        <v>0</v>
      </c>
      <c r="E1125" s="5">
        <v>0</v>
      </c>
    </row>
    <row r="1126" spans="1:5">
      <c r="A1126" s="4" t="str">
        <f>"20228013813"</f>
        <v>20228013813</v>
      </c>
      <c r="B1126" s="4" t="str">
        <f t="shared" si="17"/>
        <v>20220304</v>
      </c>
      <c r="C1126" s="5">
        <v>93.6</v>
      </c>
      <c r="D1126" s="5">
        <v>82.6</v>
      </c>
      <c r="E1126" s="5">
        <v>87</v>
      </c>
    </row>
    <row r="1127" spans="1:5">
      <c r="A1127" s="4" t="str">
        <f>"20228013814"</f>
        <v>20228013814</v>
      </c>
      <c r="B1127" s="4" t="str">
        <f t="shared" si="17"/>
        <v>20220304</v>
      </c>
      <c r="C1127" s="5">
        <v>81.5</v>
      </c>
      <c r="D1127" s="5">
        <v>66.3</v>
      </c>
      <c r="E1127" s="5">
        <v>72.38</v>
      </c>
    </row>
    <row r="1128" spans="1:5">
      <c r="A1128" s="4" t="str">
        <f>"20228013815"</f>
        <v>20228013815</v>
      </c>
      <c r="B1128" s="4" t="str">
        <f t="shared" si="17"/>
        <v>20220304</v>
      </c>
      <c r="C1128" s="5">
        <v>99.3</v>
      </c>
      <c r="D1128" s="5">
        <v>106.3</v>
      </c>
      <c r="E1128" s="5">
        <v>103.5</v>
      </c>
    </row>
    <row r="1129" spans="1:5">
      <c r="A1129" s="4" t="str">
        <f>"20228013816"</f>
        <v>20228013816</v>
      </c>
      <c r="B1129" s="4" t="str">
        <f t="shared" si="17"/>
        <v>20220304</v>
      </c>
      <c r="C1129" s="5">
        <v>67.3</v>
      </c>
      <c r="D1129" s="5">
        <v>73.1</v>
      </c>
      <c r="E1129" s="5">
        <v>70.78</v>
      </c>
    </row>
    <row r="1130" spans="1:5">
      <c r="A1130" s="4" t="str">
        <f>"20228013817"</f>
        <v>20228013817</v>
      </c>
      <c r="B1130" s="4" t="str">
        <f t="shared" si="17"/>
        <v>20220304</v>
      </c>
      <c r="C1130" s="5">
        <v>0</v>
      </c>
      <c r="D1130" s="5">
        <v>0</v>
      </c>
      <c r="E1130" s="5">
        <v>0</v>
      </c>
    </row>
    <row r="1131" spans="1:5">
      <c r="A1131" s="4" t="str">
        <f>"20228013818"</f>
        <v>20228013818</v>
      </c>
      <c r="B1131" s="4" t="str">
        <f t="shared" ref="B1131:B1194" si="18">"20220304"</f>
        <v>20220304</v>
      </c>
      <c r="C1131" s="5">
        <v>89</v>
      </c>
      <c r="D1131" s="5">
        <v>85.9</v>
      </c>
      <c r="E1131" s="5">
        <v>87.14</v>
      </c>
    </row>
    <row r="1132" spans="1:5">
      <c r="A1132" s="4" t="str">
        <f>"20228013819"</f>
        <v>20228013819</v>
      </c>
      <c r="B1132" s="4" t="str">
        <f t="shared" si="18"/>
        <v>20220304</v>
      </c>
      <c r="C1132" s="5">
        <v>0</v>
      </c>
      <c r="D1132" s="5">
        <v>0</v>
      </c>
      <c r="E1132" s="5">
        <v>0</v>
      </c>
    </row>
    <row r="1133" spans="1:5">
      <c r="A1133" s="4" t="str">
        <f>"20228013820"</f>
        <v>20228013820</v>
      </c>
      <c r="B1133" s="4" t="str">
        <f t="shared" si="18"/>
        <v>20220304</v>
      </c>
      <c r="C1133" s="5">
        <v>0</v>
      </c>
      <c r="D1133" s="5">
        <v>0</v>
      </c>
      <c r="E1133" s="5">
        <v>0</v>
      </c>
    </row>
    <row r="1134" spans="1:5">
      <c r="A1134" s="4" t="str">
        <f>"20228013821"</f>
        <v>20228013821</v>
      </c>
      <c r="B1134" s="4" t="str">
        <f t="shared" si="18"/>
        <v>20220304</v>
      </c>
      <c r="C1134" s="5">
        <v>73.9</v>
      </c>
      <c r="D1134" s="5">
        <v>82.8</v>
      </c>
      <c r="E1134" s="5">
        <v>79.24</v>
      </c>
    </row>
    <row r="1135" spans="1:5">
      <c r="A1135" s="4" t="str">
        <f>"20228013822"</f>
        <v>20228013822</v>
      </c>
      <c r="B1135" s="4" t="str">
        <f t="shared" si="18"/>
        <v>20220304</v>
      </c>
      <c r="C1135" s="5">
        <v>107</v>
      </c>
      <c r="D1135" s="5">
        <v>93.3</v>
      </c>
      <c r="E1135" s="5">
        <v>98.78</v>
      </c>
    </row>
    <row r="1136" spans="1:5">
      <c r="A1136" s="4" t="str">
        <f>"20228013823"</f>
        <v>20228013823</v>
      </c>
      <c r="B1136" s="4" t="str">
        <f t="shared" si="18"/>
        <v>20220304</v>
      </c>
      <c r="C1136" s="5">
        <v>0</v>
      </c>
      <c r="D1136" s="5">
        <v>0</v>
      </c>
      <c r="E1136" s="5">
        <v>0</v>
      </c>
    </row>
    <row r="1137" spans="1:5">
      <c r="A1137" s="4" t="str">
        <f>"20228013824"</f>
        <v>20228013824</v>
      </c>
      <c r="B1137" s="4" t="str">
        <f t="shared" si="18"/>
        <v>20220304</v>
      </c>
      <c r="C1137" s="5">
        <v>0</v>
      </c>
      <c r="D1137" s="5">
        <v>0</v>
      </c>
      <c r="E1137" s="5">
        <v>0</v>
      </c>
    </row>
    <row r="1138" spans="1:5">
      <c r="A1138" s="4" t="str">
        <f>"20228013825"</f>
        <v>20228013825</v>
      </c>
      <c r="B1138" s="4" t="str">
        <f t="shared" si="18"/>
        <v>20220304</v>
      </c>
      <c r="C1138" s="5">
        <v>93.1</v>
      </c>
      <c r="D1138" s="5">
        <v>64.9</v>
      </c>
      <c r="E1138" s="5">
        <v>76.18</v>
      </c>
    </row>
    <row r="1139" spans="1:5">
      <c r="A1139" s="4" t="str">
        <f>"20228013826"</f>
        <v>20228013826</v>
      </c>
      <c r="B1139" s="4" t="str">
        <f t="shared" si="18"/>
        <v>20220304</v>
      </c>
      <c r="C1139" s="5">
        <v>98.8</v>
      </c>
      <c r="D1139" s="5">
        <v>92.8</v>
      </c>
      <c r="E1139" s="5">
        <v>95.2</v>
      </c>
    </row>
    <row r="1140" spans="1:5">
      <c r="A1140" s="4" t="str">
        <f>"20228013827"</f>
        <v>20228013827</v>
      </c>
      <c r="B1140" s="4" t="str">
        <f t="shared" si="18"/>
        <v>20220304</v>
      </c>
      <c r="C1140" s="5">
        <v>98.7</v>
      </c>
      <c r="D1140" s="5">
        <v>91.7</v>
      </c>
      <c r="E1140" s="5">
        <v>94.5</v>
      </c>
    </row>
    <row r="1141" spans="1:5">
      <c r="A1141" s="4" t="str">
        <f>"20228013828"</f>
        <v>20228013828</v>
      </c>
      <c r="B1141" s="4" t="str">
        <f t="shared" si="18"/>
        <v>20220304</v>
      </c>
      <c r="C1141" s="5">
        <v>0</v>
      </c>
      <c r="D1141" s="5">
        <v>0</v>
      </c>
      <c r="E1141" s="5">
        <v>0</v>
      </c>
    </row>
    <row r="1142" spans="1:5">
      <c r="A1142" s="4" t="str">
        <f>"20228013829"</f>
        <v>20228013829</v>
      </c>
      <c r="B1142" s="4" t="str">
        <f t="shared" si="18"/>
        <v>20220304</v>
      </c>
      <c r="C1142" s="5">
        <v>0</v>
      </c>
      <c r="D1142" s="5">
        <v>0</v>
      </c>
      <c r="E1142" s="5">
        <v>0</v>
      </c>
    </row>
    <row r="1143" spans="1:5">
      <c r="A1143" s="4" t="str">
        <f>"20228013830"</f>
        <v>20228013830</v>
      </c>
      <c r="B1143" s="4" t="str">
        <f t="shared" si="18"/>
        <v>20220304</v>
      </c>
      <c r="C1143" s="5">
        <v>0</v>
      </c>
      <c r="D1143" s="5">
        <v>0</v>
      </c>
      <c r="E1143" s="5">
        <v>0</v>
      </c>
    </row>
    <row r="1144" spans="1:5">
      <c r="A1144" s="4" t="str">
        <f>"20228013901"</f>
        <v>20228013901</v>
      </c>
      <c r="B1144" s="4" t="str">
        <f t="shared" si="18"/>
        <v>20220304</v>
      </c>
      <c r="C1144" s="5">
        <v>87.8</v>
      </c>
      <c r="D1144" s="5">
        <v>75.5</v>
      </c>
      <c r="E1144" s="5">
        <v>80.42</v>
      </c>
    </row>
    <row r="1145" spans="1:5">
      <c r="A1145" s="4" t="str">
        <f>"20228013902"</f>
        <v>20228013902</v>
      </c>
      <c r="B1145" s="4" t="str">
        <f t="shared" si="18"/>
        <v>20220304</v>
      </c>
      <c r="C1145" s="5">
        <v>94.7</v>
      </c>
      <c r="D1145" s="5">
        <v>92.6</v>
      </c>
      <c r="E1145" s="5">
        <v>93.44</v>
      </c>
    </row>
    <row r="1146" spans="1:5">
      <c r="A1146" s="4" t="str">
        <f>"20228013903"</f>
        <v>20228013903</v>
      </c>
      <c r="B1146" s="4" t="str">
        <f t="shared" si="18"/>
        <v>20220304</v>
      </c>
      <c r="C1146" s="5">
        <v>98.4</v>
      </c>
      <c r="D1146" s="5">
        <v>79.8</v>
      </c>
      <c r="E1146" s="5">
        <v>87.24</v>
      </c>
    </row>
    <row r="1147" spans="1:5">
      <c r="A1147" s="4" t="str">
        <f>"20228013904"</f>
        <v>20228013904</v>
      </c>
      <c r="B1147" s="4" t="str">
        <f t="shared" si="18"/>
        <v>20220304</v>
      </c>
      <c r="C1147" s="5">
        <v>94.2</v>
      </c>
      <c r="D1147" s="5">
        <v>83.5</v>
      </c>
      <c r="E1147" s="5">
        <v>87.78</v>
      </c>
    </row>
    <row r="1148" spans="1:5">
      <c r="A1148" s="4" t="str">
        <f>"20228013905"</f>
        <v>20228013905</v>
      </c>
      <c r="B1148" s="4" t="str">
        <f t="shared" si="18"/>
        <v>20220304</v>
      </c>
      <c r="C1148" s="5">
        <v>0</v>
      </c>
      <c r="D1148" s="5">
        <v>0</v>
      </c>
      <c r="E1148" s="5">
        <v>0</v>
      </c>
    </row>
    <row r="1149" spans="1:5">
      <c r="A1149" s="4" t="str">
        <f>"20228013906"</f>
        <v>20228013906</v>
      </c>
      <c r="B1149" s="4" t="str">
        <f t="shared" si="18"/>
        <v>20220304</v>
      </c>
      <c r="C1149" s="5">
        <v>95.4</v>
      </c>
      <c r="D1149" s="5">
        <v>95.5</v>
      </c>
      <c r="E1149" s="5">
        <v>95.46</v>
      </c>
    </row>
    <row r="1150" spans="1:5">
      <c r="A1150" s="4" t="str">
        <f>"20228013907"</f>
        <v>20228013907</v>
      </c>
      <c r="B1150" s="4" t="str">
        <f t="shared" si="18"/>
        <v>20220304</v>
      </c>
      <c r="C1150" s="5">
        <v>77.5</v>
      </c>
      <c r="D1150" s="5">
        <v>86.4</v>
      </c>
      <c r="E1150" s="5">
        <v>82.84</v>
      </c>
    </row>
    <row r="1151" spans="1:5">
      <c r="A1151" s="4" t="str">
        <f>"20228013908"</f>
        <v>20228013908</v>
      </c>
      <c r="B1151" s="4" t="str">
        <f t="shared" si="18"/>
        <v>20220304</v>
      </c>
      <c r="C1151" s="5">
        <v>95.6</v>
      </c>
      <c r="D1151" s="5">
        <v>82.7</v>
      </c>
      <c r="E1151" s="5">
        <v>87.86</v>
      </c>
    </row>
    <row r="1152" spans="1:5">
      <c r="A1152" s="4" t="str">
        <f>"20228013909"</f>
        <v>20228013909</v>
      </c>
      <c r="B1152" s="4" t="str">
        <f t="shared" si="18"/>
        <v>20220304</v>
      </c>
      <c r="C1152" s="5">
        <v>85.5</v>
      </c>
      <c r="D1152" s="5">
        <v>87.4</v>
      </c>
      <c r="E1152" s="5">
        <v>86.64</v>
      </c>
    </row>
    <row r="1153" spans="1:5">
      <c r="A1153" s="4" t="str">
        <f>"20228013910"</f>
        <v>20228013910</v>
      </c>
      <c r="B1153" s="4" t="str">
        <f t="shared" si="18"/>
        <v>20220304</v>
      </c>
      <c r="C1153" s="5">
        <v>96.5</v>
      </c>
      <c r="D1153" s="5">
        <v>83.7</v>
      </c>
      <c r="E1153" s="5">
        <v>88.82</v>
      </c>
    </row>
    <row r="1154" spans="1:5">
      <c r="A1154" s="4" t="str">
        <f>"20228013911"</f>
        <v>20228013911</v>
      </c>
      <c r="B1154" s="4" t="str">
        <f t="shared" si="18"/>
        <v>20220304</v>
      </c>
      <c r="C1154" s="5">
        <v>93.1</v>
      </c>
      <c r="D1154" s="5">
        <v>90.6</v>
      </c>
      <c r="E1154" s="5">
        <v>91.6</v>
      </c>
    </row>
    <row r="1155" spans="1:5">
      <c r="A1155" s="4" t="str">
        <f>"20228013912"</f>
        <v>20228013912</v>
      </c>
      <c r="B1155" s="4" t="str">
        <f t="shared" si="18"/>
        <v>20220304</v>
      </c>
      <c r="C1155" s="5">
        <v>0</v>
      </c>
      <c r="D1155" s="5">
        <v>0</v>
      </c>
      <c r="E1155" s="5">
        <v>0</v>
      </c>
    </row>
    <row r="1156" spans="1:5">
      <c r="A1156" s="4" t="str">
        <f>"20228013913"</f>
        <v>20228013913</v>
      </c>
      <c r="B1156" s="4" t="str">
        <f t="shared" si="18"/>
        <v>20220304</v>
      </c>
      <c r="C1156" s="5">
        <v>94.8</v>
      </c>
      <c r="D1156" s="5">
        <v>99</v>
      </c>
      <c r="E1156" s="5">
        <v>97.32</v>
      </c>
    </row>
    <row r="1157" spans="1:5">
      <c r="A1157" s="4" t="str">
        <f>"20228013914"</f>
        <v>20228013914</v>
      </c>
      <c r="B1157" s="4" t="str">
        <f t="shared" si="18"/>
        <v>20220304</v>
      </c>
      <c r="C1157" s="5">
        <v>79.8</v>
      </c>
      <c r="D1157" s="5">
        <v>75.4</v>
      </c>
      <c r="E1157" s="5">
        <v>77.16</v>
      </c>
    </row>
    <row r="1158" spans="1:5">
      <c r="A1158" s="4" t="str">
        <f>"20228013915"</f>
        <v>20228013915</v>
      </c>
      <c r="B1158" s="4" t="str">
        <f t="shared" si="18"/>
        <v>20220304</v>
      </c>
      <c r="C1158" s="5">
        <v>0</v>
      </c>
      <c r="D1158" s="5">
        <v>0</v>
      </c>
      <c r="E1158" s="5">
        <v>0</v>
      </c>
    </row>
    <row r="1159" spans="1:5">
      <c r="A1159" s="4" t="str">
        <f>"20228013916"</f>
        <v>20228013916</v>
      </c>
      <c r="B1159" s="4" t="str">
        <f t="shared" si="18"/>
        <v>20220304</v>
      </c>
      <c r="C1159" s="5">
        <v>90.7</v>
      </c>
      <c r="D1159" s="5">
        <v>77.6</v>
      </c>
      <c r="E1159" s="5">
        <v>82.84</v>
      </c>
    </row>
    <row r="1160" spans="1:5">
      <c r="A1160" s="4" t="str">
        <f>"20228013917"</f>
        <v>20228013917</v>
      </c>
      <c r="B1160" s="4" t="str">
        <f t="shared" si="18"/>
        <v>20220304</v>
      </c>
      <c r="C1160" s="5">
        <v>0</v>
      </c>
      <c r="D1160" s="5">
        <v>0</v>
      </c>
      <c r="E1160" s="5">
        <v>0</v>
      </c>
    </row>
    <row r="1161" spans="1:5">
      <c r="A1161" s="4" t="str">
        <f>"20228013918"</f>
        <v>20228013918</v>
      </c>
      <c r="B1161" s="4" t="str">
        <f t="shared" si="18"/>
        <v>20220304</v>
      </c>
      <c r="C1161" s="5">
        <v>98.7</v>
      </c>
      <c r="D1161" s="5">
        <v>89.9</v>
      </c>
      <c r="E1161" s="5">
        <v>93.42</v>
      </c>
    </row>
    <row r="1162" spans="1:5">
      <c r="A1162" s="4" t="str">
        <f>"20228013919"</f>
        <v>20228013919</v>
      </c>
      <c r="B1162" s="4" t="str">
        <f t="shared" si="18"/>
        <v>20220304</v>
      </c>
      <c r="C1162" s="5">
        <v>0</v>
      </c>
      <c r="D1162" s="5">
        <v>0</v>
      </c>
      <c r="E1162" s="5">
        <v>0</v>
      </c>
    </row>
    <row r="1163" spans="1:5">
      <c r="A1163" s="4" t="str">
        <f>"20228013920"</f>
        <v>20228013920</v>
      </c>
      <c r="B1163" s="4" t="str">
        <f t="shared" si="18"/>
        <v>20220304</v>
      </c>
      <c r="C1163" s="5">
        <v>89.2</v>
      </c>
      <c r="D1163" s="5">
        <v>70.7</v>
      </c>
      <c r="E1163" s="5">
        <v>78.1</v>
      </c>
    </row>
    <row r="1164" spans="1:5">
      <c r="A1164" s="4" t="str">
        <f>"20228013921"</f>
        <v>20228013921</v>
      </c>
      <c r="B1164" s="4" t="str">
        <f t="shared" si="18"/>
        <v>20220304</v>
      </c>
      <c r="C1164" s="5">
        <v>0</v>
      </c>
      <c r="D1164" s="5">
        <v>0</v>
      </c>
      <c r="E1164" s="5">
        <v>0</v>
      </c>
    </row>
    <row r="1165" spans="1:5">
      <c r="A1165" s="4" t="str">
        <f>"20228013922"</f>
        <v>20228013922</v>
      </c>
      <c r="B1165" s="4" t="str">
        <f t="shared" si="18"/>
        <v>20220304</v>
      </c>
      <c r="C1165" s="5">
        <v>93.1</v>
      </c>
      <c r="D1165" s="5">
        <v>88.8</v>
      </c>
      <c r="E1165" s="5">
        <v>90.52</v>
      </c>
    </row>
    <row r="1166" spans="1:5">
      <c r="A1166" s="4" t="str">
        <f>"20228013923"</f>
        <v>20228013923</v>
      </c>
      <c r="B1166" s="4" t="str">
        <f t="shared" si="18"/>
        <v>20220304</v>
      </c>
      <c r="C1166" s="5">
        <v>0</v>
      </c>
      <c r="D1166" s="5">
        <v>0</v>
      </c>
      <c r="E1166" s="5">
        <v>0</v>
      </c>
    </row>
    <row r="1167" spans="1:5">
      <c r="A1167" s="4" t="str">
        <f>"20228013924"</f>
        <v>20228013924</v>
      </c>
      <c r="B1167" s="4" t="str">
        <f t="shared" si="18"/>
        <v>20220304</v>
      </c>
      <c r="C1167" s="5">
        <v>0</v>
      </c>
      <c r="D1167" s="5">
        <v>0</v>
      </c>
      <c r="E1167" s="5">
        <v>0</v>
      </c>
    </row>
    <row r="1168" spans="1:5">
      <c r="A1168" s="4" t="str">
        <f>"20228013925"</f>
        <v>20228013925</v>
      </c>
      <c r="B1168" s="4" t="str">
        <f t="shared" si="18"/>
        <v>20220304</v>
      </c>
      <c r="C1168" s="5">
        <v>0</v>
      </c>
      <c r="D1168" s="5">
        <v>0</v>
      </c>
      <c r="E1168" s="5">
        <v>0</v>
      </c>
    </row>
    <row r="1169" spans="1:5">
      <c r="A1169" s="4" t="str">
        <f>"20228013926"</f>
        <v>20228013926</v>
      </c>
      <c r="B1169" s="4" t="str">
        <f t="shared" si="18"/>
        <v>20220304</v>
      </c>
      <c r="C1169" s="5">
        <v>0</v>
      </c>
      <c r="D1169" s="5">
        <v>0</v>
      </c>
      <c r="E1169" s="5">
        <v>0</v>
      </c>
    </row>
    <row r="1170" spans="1:5">
      <c r="A1170" s="4" t="str">
        <f>"20228013927"</f>
        <v>20228013927</v>
      </c>
      <c r="B1170" s="4" t="str">
        <f t="shared" si="18"/>
        <v>20220304</v>
      </c>
      <c r="C1170" s="5">
        <v>0</v>
      </c>
      <c r="D1170" s="5">
        <v>0</v>
      </c>
      <c r="E1170" s="5">
        <v>0</v>
      </c>
    </row>
    <row r="1171" spans="1:5">
      <c r="A1171" s="4" t="str">
        <f>"20228013928"</f>
        <v>20228013928</v>
      </c>
      <c r="B1171" s="4" t="str">
        <f t="shared" si="18"/>
        <v>20220304</v>
      </c>
      <c r="C1171" s="5">
        <v>78.2</v>
      </c>
      <c r="D1171" s="5">
        <v>69.7</v>
      </c>
      <c r="E1171" s="5">
        <v>73.1</v>
      </c>
    </row>
    <row r="1172" spans="1:5">
      <c r="A1172" s="4" t="str">
        <f>"20228013929"</f>
        <v>20228013929</v>
      </c>
      <c r="B1172" s="4" t="str">
        <f t="shared" si="18"/>
        <v>20220304</v>
      </c>
      <c r="C1172" s="5">
        <v>76.2</v>
      </c>
      <c r="D1172" s="5">
        <v>62.1</v>
      </c>
      <c r="E1172" s="5">
        <v>67.74</v>
      </c>
    </row>
    <row r="1173" spans="1:5">
      <c r="A1173" s="4" t="str">
        <f>"20228013930"</f>
        <v>20228013930</v>
      </c>
      <c r="B1173" s="4" t="str">
        <f t="shared" si="18"/>
        <v>20220304</v>
      </c>
      <c r="C1173" s="5">
        <v>0</v>
      </c>
      <c r="D1173" s="5">
        <v>0</v>
      </c>
      <c r="E1173" s="5">
        <v>0</v>
      </c>
    </row>
    <row r="1174" spans="1:5">
      <c r="A1174" s="4" t="str">
        <f>"20228014001"</f>
        <v>20228014001</v>
      </c>
      <c r="B1174" s="4" t="str">
        <f t="shared" si="18"/>
        <v>20220304</v>
      </c>
      <c r="C1174" s="5">
        <v>0</v>
      </c>
      <c r="D1174" s="5">
        <v>0</v>
      </c>
      <c r="E1174" s="5">
        <v>0</v>
      </c>
    </row>
    <row r="1175" spans="1:5">
      <c r="A1175" s="4" t="str">
        <f>"20228014002"</f>
        <v>20228014002</v>
      </c>
      <c r="B1175" s="4" t="str">
        <f t="shared" si="18"/>
        <v>20220304</v>
      </c>
      <c r="C1175" s="5">
        <v>0</v>
      </c>
      <c r="D1175" s="5">
        <v>0</v>
      </c>
      <c r="E1175" s="5">
        <v>0</v>
      </c>
    </row>
    <row r="1176" spans="1:5">
      <c r="A1176" s="4" t="str">
        <f>"20228014003"</f>
        <v>20228014003</v>
      </c>
      <c r="B1176" s="4" t="str">
        <f t="shared" si="18"/>
        <v>20220304</v>
      </c>
      <c r="C1176" s="5">
        <v>0</v>
      </c>
      <c r="D1176" s="5">
        <v>0</v>
      </c>
      <c r="E1176" s="5">
        <v>0</v>
      </c>
    </row>
    <row r="1177" spans="1:5">
      <c r="A1177" s="4" t="str">
        <f>"20228014004"</f>
        <v>20228014004</v>
      </c>
      <c r="B1177" s="4" t="str">
        <f t="shared" si="18"/>
        <v>20220304</v>
      </c>
      <c r="C1177" s="5">
        <v>0</v>
      </c>
      <c r="D1177" s="5">
        <v>0</v>
      </c>
      <c r="E1177" s="5">
        <v>0</v>
      </c>
    </row>
    <row r="1178" spans="1:5">
      <c r="A1178" s="4" t="str">
        <f>"20228014005"</f>
        <v>20228014005</v>
      </c>
      <c r="B1178" s="4" t="str">
        <f t="shared" si="18"/>
        <v>20220304</v>
      </c>
      <c r="C1178" s="5">
        <v>0</v>
      </c>
      <c r="D1178" s="5">
        <v>0</v>
      </c>
      <c r="E1178" s="5">
        <v>0</v>
      </c>
    </row>
    <row r="1179" spans="1:5">
      <c r="A1179" s="4" t="str">
        <f>"20228014006"</f>
        <v>20228014006</v>
      </c>
      <c r="B1179" s="4" t="str">
        <f t="shared" si="18"/>
        <v>20220304</v>
      </c>
      <c r="C1179" s="5">
        <v>0</v>
      </c>
      <c r="D1179" s="5">
        <v>0</v>
      </c>
      <c r="E1179" s="5">
        <v>0</v>
      </c>
    </row>
    <row r="1180" spans="1:5">
      <c r="A1180" s="4" t="str">
        <f>"20228014007"</f>
        <v>20228014007</v>
      </c>
      <c r="B1180" s="4" t="str">
        <f t="shared" si="18"/>
        <v>20220304</v>
      </c>
      <c r="C1180" s="5">
        <v>91.8</v>
      </c>
      <c r="D1180" s="5">
        <v>75.7</v>
      </c>
      <c r="E1180" s="5">
        <v>82.14</v>
      </c>
    </row>
    <row r="1181" spans="1:5">
      <c r="A1181" s="4" t="str">
        <f>"20228014008"</f>
        <v>20228014008</v>
      </c>
      <c r="B1181" s="4" t="str">
        <f t="shared" si="18"/>
        <v>20220304</v>
      </c>
      <c r="C1181" s="5">
        <v>0</v>
      </c>
      <c r="D1181" s="5">
        <v>0</v>
      </c>
      <c r="E1181" s="5">
        <v>0</v>
      </c>
    </row>
    <row r="1182" spans="1:5">
      <c r="A1182" s="4" t="str">
        <f>"20228014009"</f>
        <v>20228014009</v>
      </c>
      <c r="B1182" s="4" t="str">
        <f t="shared" si="18"/>
        <v>20220304</v>
      </c>
      <c r="C1182" s="5">
        <v>92</v>
      </c>
      <c r="D1182" s="5">
        <v>96.5</v>
      </c>
      <c r="E1182" s="5">
        <v>94.7</v>
      </c>
    </row>
    <row r="1183" spans="1:5">
      <c r="A1183" s="4" t="str">
        <f>"20228014010"</f>
        <v>20228014010</v>
      </c>
      <c r="B1183" s="4" t="str">
        <f t="shared" si="18"/>
        <v>20220304</v>
      </c>
      <c r="C1183" s="5">
        <v>0</v>
      </c>
      <c r="D1183" s="5">
        <v>0</v>
      </c>
      <c r="E1183" s="5">
        <v>0</v>
      </c>
    </row>
    <row r="1184" spans="1:5">
      <c r="A1184" s="4" t="str">
        <f>"20228014011"</f>
        <v>20228014011</v>
      </c>
      <c r="B1184" s="4" t="str">
        <f t="shared" si="18"/>
        <v>20220304</v>
      </c>
      <c r="C1184" s="5">
        <v>81.2</v>
      </c>
      <c r="D1184" s="5">
        <v>61.7</v>
      </c>
      <c r="E1184" s="5">
        <v>69.5</v>
      </c>
    </row>
    <row r="1185" spans="1:5">
      <c r="A1185" s="4" t="str">
        <f>"20228014012"</f>
        <v>20228014012</v>
      </c>
      <c r="B1185" s="4" t="str">
        <f t="shared" si="18"/>
        <v>20220304</v>
      </c>
      <c r="C1185" s="5">
        <v>69</v>
      </c>
      <c r="D1185" s="5">
        <v>73.4</v>
      </c>
      <c r="E1185" s="5">
        <v>71.64</v>
      </c>
    </row>
    <row r="1186" spans="1:5">
      <c r="A1186" s="4" t="str">
        <f>"20228014013"</f>
        <v>20228014013</v>
      </c>
      <c r="B1186" s="4" t="str">
        <f t="shared" si="18"/>
        <v>20220304</v>
      </c>
      <c r="C1186" s="5">
        <v>97.3</v>
      </c>
      <c r="D1186" s="5">
        <v>91.7</v>
      </c>
      <c r="E1186" s="5">
        <v>93.94</v>
      </c>
    </row>
    <row r="1187" spans="1:5">
      <c r="A1187" s="4" t="str">
        <f>"20228014014"</f>
        <v>20228014014</v>
      </c>
      <c r="B1187" s="4" t="str">
        <f t="shared" si="18"/>
        <v>20220304</v>
      </c>
      <c r="C1187" s="5">
        <v>81.3</v>
      </c>
      <c r="D1187" s="5">
        <v>91.6</v>
      </c>
      <c r="E1187" s="5">
        <v>87.48</v>
      </c>
    </row>
    <row r="1188" spans="1:5">
      <c r="A1188" s="4" t="str">
        <f>"20228014015"</f>
        <v>20228014015</v>
      </c>
      <c r="B1188" s="4" t="str">
        <f t="shared" si="18"/>
        <v>20220304</v>
      </c>
      <c r="C1188" s="5">
        <v>81.8</v>
      </c>
      <c r="D1188" s="5">
        <v>81</v>
      </c>
      <c r="E1188" s="5">
        <v>81.32</v>
      </c>
    </row>
    <row r="1189" spans="1:5">
      <c r="A1189" s="4" t="str">
        <f>"20228014016"</f>
        <v>20228014016</v>
      </c>
      <c r="B1189" s="4" t="str">
        <f t="shared" si="18"/>
        <v>20220304</v>
      </c>
      <c r="C1189" s="5">
        <v>0</v>
      </c>
      <c r="D1189" s="5">
        <v>0</v>
      </c>
      <c r="E1189" s="5">
        <v>0</v>
      </c>
    </row>
    <row r="1190" spans="1:5">
      <c r="A1190" s="4" t="str">
        <f>"20228014017"</f>
        <v>20228014017</v>
      </c>
      <c r="B1190" s="4" t="str">
        <f t="shared" si="18"/>
        <v>20220304</v>
      </c>
      <c r="C1190" s="5">
        <v>0</v>
      </c>
      <c r="D1190" s="5">
        <v>0</v>
      </c>
      <c r="E1190" s="5">
        <v>0</v>
      </c>
    </row>
    <row r="1191" spans="1:5">
      <c r="A1191" s="4" t="str">
        <f>"20228014018"</f>
        <v>20228014018</v>
      </c>
      <c r="B1191" s="4" t="str">
        <f t="shared" si="18"/>
        <v>20220304</v>
      </c>
      <c r="C1191" s="5">
        <v>0</v>
      </c>
      <c r="D1191" s="5">
        <v>0</v>
      </c>
      <c r="E1191" s="5">
        <v>0</v>
      </c>
    </row>
    <row r="1192" spans="1:5">
      <c r="A1192" s="4" t="str">
        <f>"20228014019"</f>
        <v>20228014019</v>
      </c>
      <c r="B1192" s="4" t="str">
        <f t="shared" si="18"/>
        <v>20220304</v>
      </c>
      <c r="C1192" s="5">
        <v>91.9</v>
      </c>
      <c r="D1192" s="5">
        <v>94.8</v>
      </c>
      <c r="E1192" s="5">
        <v>93.64</v>
      </c>
    </row>
    <row r="1193" spans="1:5">
      <c r="A1193" s="4" t="str">
        <f>"20228014020"</f>
        <v>20228014020</v>
      </c>
      <c r="B1193" s="4" t="str">
        <f t="shared" si="18"/>
        <v>20220304</v>
      </c>
      <c r="C1193" s="5">
        <v>0</v>
      </c>
      <c r="D1193" s="5">
        <v>0</v>
      </c>
      <c r="E1193" s="5">
        <v>0</v>
      </c>
    </row>
    <row r="1194" spans="1:5">
      <c r="A1194" s="4" t="str">
        <f>"20228014021"</f>
        <v>20228014021</v>
      </c>
      <c r="B1194" s="4" t="str">
        <f t="shared" si="18"/>
        <v>20220304</v>
      </c>
      <c r="C1194" s="5">
        <v>0</v>
      </c>
      <c r="D1194" s="5">
        <v>0</v>
      </c>
      <c r="E1194" s="5">
        <v>0</v>
      </c>
    </row>
    <row r="1195" spans="1:5">
      <c r="A1195" s="4" t="str">
        <f>"20228014022"</f>
        <v>20228014022</v>
      </c>
      <c r="B1195" s="4" t="str">
        <f t="shared" ref="B1195:B1258" si="19">"20220304"</f>
        <v>20220304</v>
      </c>
      <c r="C1195" s="5">
        <v>104.4</v>
      </c>
      <c r="D1195" s="5">
        <v>79.6</v>
      </c>
      <c r="E1195" s="5">
        <v>89.52</v>
      </c>
    </row>
    <row r="1196" spans="1:5">
      <c r="A1196" s="4" t="str">
        <f>"20228014023"</f>
        <v>20228014023</v>
      </c>
      <c r="B1196" s="4" t="str">
        <f t="shared" si="19"/>
        <v>20220304</v>
      </c>
      <c r="C1196" s="5">
        <v>84.1</v>
      </c>
      <c r="D1196" s="5">
        <v>77.7</v>
      </c>
      <c r="E1196" s="5">
        <v>80.26</v>
      </c>
    </row>
    <row r="1197" spans="1:5">
      <c r="A1197" s="4" t="str">
        <f>"20228014024"</f>
        <v>20228014024</v>
      </c>
      <c r="B1197" s="4" t="str">
        <f t="shared" si="19"/>
        <v>20220304</v>
      </c>
      <c r="C1197" s="5">
        <v>101.5</v>
      </c>
      <c r="D1197" s="5">
        <v>90.7</v>
      </c>
      <c r="E1197" s="5">
        <v>95.02</v>
      </c>
    </row>
    <row r="1198" spans="1:5">
      <c r="A1198" s="4" t="str">
        <f>"20228014025"</f>
        <v>20228014025</v>
      </c>
      <c r="B1198" s="4" t="str">
        <f t="shared" si="19"/>
        <v>20220304</v>
      </c>
      <c r="C1198" s="5">
        <v>102.9</v>
      </c>
      <c r="D1198" s="5">
        <v>100.2</v>
      </c>
      <c r="E1198" s="5">
        <v>101.28</v>
      </c>
    </row>
    <row r="1199" spans="1:5">
      <c r="A1199" s="4" t="str">
        <f>"20228014026"</f>
        <v>20228014026</v>
      </c>
      <c r="B1199" s="4" t="str">
        <f t="shared" si="19"/>
        <v>20220304</v>
      </c>
      <c r="C1199" s="5">
        <v>95.4</v>
      </c>
      <c r="D1199" s="5">
        <v>94.4</v>
      </c>
      <c r="E1199" s="5">
        <v>94.8</v>
      </c>
    </row>
    <row r="1200" spans="1:5">
      <c r="A1200" s="4" t="str">
        <f>"20228014027"</f>
        <v>20228014027</v>
      </c>
      <c r="B1200" s="4" t="str">
        <f t="shared" si="19"/>
        <v>20220304</v>
      </c>
      <c r="C1200" s="5">
        <v>0</v>
      </c>
      <c r="D1200" s="5">
        <v>0</v>
      </c>
      <c r="E1200" s="5">
        <v>0</v>
      </c>
    </row>
    <row r="1201" spans="1:5">
      <c r="A1201" s="4" t="str">
        <f>"20228014028"</f>
        <v>20228014028</v>
      </c>
      <c r="B1201" s="4" t="str">
        <f t="shared" si="19"/>
        <v>20220304</v>
      </c>
      <c r="C1201" s="5">
        <v>0</v>
      </c>
      <c r="D1201" s="5">
        <v>0</v>
      </c>
      <c r="E1201" s="5">
        <v>0</v>
      </c>
    </row>
    <row r="1202" spans="1:5">
      <c r="A1202" s="4" t="str">
        <f>"20228014029"</f>
        <v>20228014029</v>
      </c>
      <c r="B1202" s="4" t="str">
        <f t="shared" si="19"/>
        <v>20220304</v>
      </c>
      <c r="C1202" s="5">
        <v>91.6</v>
      </c>
      <c r="D1202" s="5">
        <v>96.2</v>
      </c>
      <c r="E1202" s="5">
        <v>94.36</v>
      </c>
    </row>
    <row r="1203" spans="1:5">
      <c r="A1203" s="4" t="str">
        <f>"20228014030"</f>
        <v>20228014030</v>
      </c>
      <c r="B1203" s="4" t="str">
        <f t="shared" si="19"/>
        <v>20220304</v>
      </c>
      <c r="C1203" s="5">
        <v>0</v>
      </c>
      <c r="D1203" s="5">
        <v>0</v>
      </c>
      <c r="E1203" s="5">
        <v>0</v>
      </c>
    </row>
    <row r="1204" spans="1:5">
      <c r="A1204" s="4" t="str">
        <f>"20228014101"</f>
        <v>20228014101</v>
      </c>
      <c r="B1204" s="4" t="str">
        <f t="shared" si="19"/>
        <v>20220304</v>
      </c>
      <c r="C1204" s="5">
        <v>0</v>
      </c>
      <c r="D1204" s="5">
        <v>0</v>
      </c>
      <c r="E1204" s="5">
        <v>0</v>
      </c>
    </row>
    <row r="1205" spans="1:5">
      <c r="A1205" s="4" t="str">
        <f>"20228014102"</f>
        <v>20228014102</v>
      </c>
      <c r="B1205" s="4" t="str">
        <f t="shared" si="19"/>
        <v>20220304</v>
      </c>
      <c r="C1205" s="5">
        <v>84.5</v>
      </c>
      <c r="D1205" s="5">
        <v>82.6</v>
      </c>
      <c r="E1205" s="5">
        <v>83.36</v>
      </c>
    </row>
    <row r="1206" spans="1:5">
      <c r="A1206" s="4" t="str">
        <f>"20228014103"</f>
        <v>20228014103</v>
      </c>
      <c r="B1206" s="4" t="str">
        <f t="shared" si="19"/>
        <v>20220304</v>
      </c>
      <c r="C1206" s="5">
        <v>0</v>
      </c>
      <c r="D1206" s="5">
        <v>0</v>
      </c>
      <c r="E1206" s="5">
        <v>0</v>
      </c>
    </row>
    <row r="1207" spans="1:5">
      <c r="A1207" s="4" t="str">
        <f>"20228014104"</f>
        <v>20228014104</v>
      </c>
      <c r="B1207" s="4" t="str">
        <f t="shared" si="19"/>
        <v>20220304</v>
      </c>
      <c r="C1207" s="5">
        <v>89.6</v>
      </c>
      <c r="D1207" s="5">
        <v>82.2</v>
      </c>
      <c r="E1207" s="5">
        <v>85.16</v>
      </c>
    </row>
    <row r="1208" spans="1:5">
      <c r="A1208" s="4" t="str">
        <f>"20228014105"</f>
        <v>20228014105</v>
      </c>
      <c r="B1208" s="4" t="str">
        <f t="shared" si="19"/>
        <v>20220304</v>
      </c>
      <c r="C1208" s="5">
        <v>93.7</v>
      </c>
      <c r="D1208" s="5">
        <v>86.3</v>
      </c>
      <c r="E1208" s="5">
        <v>89.26</v>
      </c>
    </row>
    <row r="1209" spans="1:5">
      <c r="A1209" s="4" t="str">
        <f>"20228014106"</f>
        <v>20228014106</v>
      </c>
      <c r="B1209" s="4" t="str">
        <f t="shared" si="19"/>
        <v>20220304</v>
      </c>
      <c r="C1209" s="5">
        <v>80.2</v>
      </c>
      <c r="D1209" s="5">
        <v>49.4</v>
      </c>
      <c r="E1209" s="5">
        <v>61.72</v>
      </c>
    </row>
    <row r="1210" spans="1:5">
      <c r="A1210" s="4" t="str">
        <f>"20228014107"</f>
        <v>20228014107</v>
      </c>
      <c r="B1210" s="4" t="str">
        <f t="shared" si="19"/>
        <v>20220304</v>
      </c>
      <c r="C1210" s="5">
        <v>0</v>
      </c>
      <c r="D1210" s="5">
        <v>0</v>
      </c>
      <c r="E1210" s="5">
        <v>0</v>
      </c>
    </row>
    <row r="1211" spans="1:5">
      <c r="A1211" s="4" t="str">
        <f>"20228014108"</f>
        <v>20228014108</v>
      </c>
      <c r="B1211" s="4" t="str">
        <f t="shared" si="19"/>
        <v>20220304</v>
      </c>
      <c r="C1211" s="5">
        <v>95.3</v>
      </c>
      <c r="D1211" s="5">
        <v>75.9</v>
      </c>
      <c r="E1211" s="5">
        <v>83.66</v>
      </c>
    </row>
    <row r="1212" spans="1:5">
      <c r="A1212" s="4" t="str">
        <f>"20228014109"</f>
        <v>20228014109</v>
      </c>
      <c r="B1212" s="4" t="str">
        <f t="shared" si="19"/>
        <v>20220304</v>
      </c>
      <c r="C1212" s="5">
        <v>89.3</v>
      </c>
      <c r="D1212" s="5">
        <v>88.5</v>
      </c>
      <c r="E1212" s="5">
        <v>88.82</v>
      </c>
    </row>
    <row r="1213" spans="1:5">
      <c r="A1213" s="4" t="str">
        <f>"20228014110"</f>
        <v>20228014110</v>
      </c>
      <c r="B1213" s="4" t="str">
        <f t="shared" si="19"/>
        <v>20220304</v>
      </c>
      <c r="C1213" s="5">
        <v>92.7</v>
      </c>
      <c r="D1213" s="5">
        <v>84</v>
      </c>
      <c r="E1213" s="5">
        <v>87.48</v>
      </c>
    </row>
    <row r="1214" spans="1:5">
      <c r="A1214" s="4" t="str">
        <f>"20228014111"</f>
        <v>20228014111</v>
      </c>
      <c r="B1214" s="4" t="str">
        <f t="shared" si="19"/>
        <v>20220304</v>
      </c>
      <c r="C1214" s="5">
        <v>90</v>
      </c>
      <c r="D1214" s="5">
        <v>83.3</v>
      </c>
      <c r="E1214" s="5">
        <v>85.98</v>
      </c>
    </row>
    <row r="1215" spans="1:5">
      <c r="A1215" s="4" t="str">
        <f>"20228014112"</f>
        <v>20228014112</v>
      </c>
      <c r="B1215" s="4" t="str">
        <f t="shared" si="19"/>
        <v>20220304</v>
      </c>
      <c r="C1215" s="5">
        <v>0</v>
      </c>
      <c r="D1215" s="5">
        <v>0</v>
      </c>
      <c r="E1215" s="5">
        <v>0</v>
      </c>
    </row>
    <row r="1216" spans="1:5">
      <c r="A1216" s="4" t="str">
        <f>"20228014113"</f>
        <v>20228014113</v>
      </c>
      <c r="B1216" s="4" t="str">
        <f t="shared" si="19"/>
        <v>20220304</v>
      </c>
      <c r="C1216" s="5">
        <v>89.3</v>
      </c>
      <c r="D1216" s="5">
        <v>93.2</v>
      </c>
      <c r="E1216" s="5">
        <v>91.64</v>
      </c>
    </row>
    <row r="1217" spans="1:5">
      <c r="A1217" s="4" t="str">
        <f>"20228014114"</f>
        <v>20228014114</v>
      </c>
      <c r="B1217" s="4" t="str">
        <f t="shared" si="19"/>
        <v>20220304</v>
      </c>
      <c r="C1217" s="5">
        <v>86.9</v>
      </c>
      <c r="D1217" s="5">
        <v>78</v>
      </c>
      <c r="E1217" s="5">
        <v>81.56</v>
      </c>
    </row>
    <row r="1218" spans="1:5">
      <c r="A1218" s="4" t="str">
        <f>"20228014115"</f>
        <v>20228014115</v>
      </c>
      <c r="B1218" s="4" t="str">
        <f t="shared" si="19"/>
        <v>20220304</v>
      </c>
      <c r="C1218" s="5">
        <v>92.6</v>
      </c>
      <c r="D1218" s="5">
        <v>83.8</v>
      </c>
      <c r="E1218" s="5">
        <v>87.32</v>
      </c>
    </row>
    <row r="1219" spans="1:5">
      <c r="A1219" s="4" t="str">
        <f>"20228014116"</f>
        <v>20228014116</v>
      </c>
      <c r="B1219" s="4" t="str">
        <f t="shared" si="19"/>
        <v>20220304</v>
      </c>
      <c r="C1219" s="5">
        <v>97.6</v>
      </c>
      <c r="D1219" s="5">
        <v>95</v>
      </c>
      <c r="E1219" s="5">
        <v>96.04</v>
      </c>
    </row>
    <row r="1220" spans="1:5">
      <c r="A1220" s="4" t="str">
        <f>"20228014117"</f>
        <v>20228014117</v>
      </c>
      <c r="B1220" s="4" t="str">
        <f t="shared" si="19"/>
        <v>20220304</v>
      </c>
      <c r="C1220" s="5">
        <v>93.7</v>
      </c>
      <c r="D1220" s="5">
        <v>89.5</v>
      </c>
      <c r="E1220" s="5">
        <v>91.18</v>
      </c>
    </row>
    <row r="1221" spans="1:5">
      <c r="A1221" s="4" t="str">
        <f>"20228014118"</f>
        <v>20228014118</v>
      </c>
      <c r="B1221" s="4" t="str">
        <f t="shared" si="19"/>
        <v>20220304</v>
      </c>
      <c r="C1221" s="5">
        <v>93.5</v>
      </c>
      <c r="D1221" s="5">
        <v>89.2</v>
      </c>
      <c r="E1221" s="5">
        <v>90.92</v>
      </c>
    </row>
    <row r="1222" spans="1:5">
      <c r="A1222" s="4" t="str">
        <f>"20228014119"</f>
        <v>20228014119</v>
      </c>
      <c r="B1222" s="4" t="str">
        <f t="shared" si="19"/>
        <v>20220304</v>
      </c>
      <c r="C1222" s="5">
        <v>0</v>
      </c>
      <c r="D1222" s="5">
        <v>0</v>
      </c>
      <c r="E1222" s="5">
        <v>0</v>
      </c>
    </row>
    <row r="1223" spans="1:5">
      <c r="A1223" s="4" t="str">
        <f>"20228014120"</f>
        <v>20228014120</v>
      </c>
      <c r="B1223" s="4" t="str">
        <f t="shared" si="19"/>
        <v>20220304</v>
      </c>
      <c r="C1223" s="5">
        <v>95.3</v>
      </c>
      <c r="D1223" s="5">
        <v>87.5</v>
      </c>
      <c r="E1223" s="5">
        <v>90.62</v>
      </c>
    </row>
    <row r="1224" spans="1:5">
      <c r="A1224" s="4" t="str">
        <f>"20228014121"</f>
        <v>20228014121</v>
      </c>
      <c r="B1224" s="4" t="str">
        <f t="shared" si="19"/>
        <v>20220304</v>
      </c>
      <c r="C1224" s="5">
        <v>0</v>
      </c>
      <c r="D1224" s="5">
        <v>0</v>
      </c>
      <c r="E1224" s="5">
        <v>0</v>
      </c>
    </row>
    <row r="1225" spans="1:5">
      <c r="A1225" s="4" t="str">
        <f>"20228014122"</f>
        <v>20228014122</v>
      </c>
      <c r="B1225" s="4" t="str">
        <f t="shared" si="19"/>
        <v>20220304</v>
      </c>
      <c r="C1225" s="5">
        <v>93.2</v>
      </c>
      <c r="D1225" s="5">
        <v>89.2</v>
      </c>
      <c r="E1225" s="5">
        <v>90.8</v>
      </c>
    </row>
    <row r="1226" spans="1:5">
      <c r="A1226" s="4" t="str">
        <f>"20228014123"</f>
        <v>20228014123</v>
      </c>
      <c r="B1226" s="4" t="str">
        <f t="shared" si="19"/>
        <v>20220304</v>
      </c>
      <c r="C1226" s="5">
        <v>91.5</v>
      </c>
      <c r="D1226" s="5">
        <v>86.1</v>
      </c>
      <c r="E1226" s="5">
        <v>88.26</v>
      </c>
    </row>
    <row r="1227" spans="1:5">
      <c r="A1227" s="4" t="str">
        <f>"20228014124"</f>
        <v>20228014124</v>
      </c>
      <c r="B1227" s="4" t="str">
        <f t="shared" si="19"/>
        <v>20220304</v>
      </c>
      <c r="C1227" s="5">
        <v>0</v>
      </c>
      <c r="D1227" s="5">
        <v>0</v>
      </c>
      <c r="E1227" s="5">
        <v>0</v>
      </c>
    </row>
    <row r="1228" spans="1:5">
      <c r="A1228" s="4" t="str">
        <f>"20228014125"</f>
        <v>20228014125</v>
      </c>
      <c r="B1228" s="4" t="str">
        <f t="shared" si="19"/>
        <v>20220304</v>
      </c>
      <c r="C1228" s="5">
        <v>100.8</v>
      </c>
      <c r="D1228" s="5">
        <v>99.5</v>
      </c>
      <c r="E1228" s="5">
        <v>100.02</v>
      </c>
    </row>
    <row r="1229" spans="1:5">
      <c r="A1229" s="4" t="str">
        <f>"20228014126"</f>
        <v>20228014126</v>
      </c>
      <c r="B1229" s="4" t="str">
        <f t="shared" si="19"/>
        <v>20220304</v>
      </c>
      <c r="C1229" s="5">
        <v>0</v>
      </c>
      <c r="D1229" s="5">
        <v>0</v>
      </c>
      <c r="E1229" s="5">
        <v>0</v>
      </c>
    </row>
    <row r="1230" spans="1:5">
      <c r="A1230" s="4" t="str">
        <f>"20228014127"</f>
        <v>20228014127</v>
      </c>
      <c r="B1230" s="4" t="str">
        <f t="shared" si="19"/>
        <v>20220304</v>
      </c>
      <c r="C1230" s="5">
        <v>0</v>
      </c>
      <c r="D1230" s="5">
        <v>0</v>
      </c>
      <c r="E1230" s="5">
        <v>0</v>
      </c>
    </row>
    <row r="1231" spans="1:5">
      <c r="A1231" s="4" t="str">
        <f>"20228014128"</f>
        <v>20228014128</v>
      </c>
      <c r="B1231" s="4" t="str">
        <f t="shared" si="19"/>
        <v>20220304</v>
      </c>
      <c r="C1231" s="5">
        <v>97.2</v>
      </c>
      <c r="D1231" s="5">
        <v>78.6</v>
      </c>
      <c r="E1231" s="5">
        <v>86.04</v>
      </c>
    </row>
    <row r="1232" spans="1:5">
      <c r="A1232" s="4" t="str">
        <f>"20228014129"</f>
        <v>20228014129</v>
      </c>
      <c r="B1232" s="4" t="str">
        <f t="shared" si="19"/>
        <v>20220304</v>
      </c>
      <c r="C1232" s="5">
        <v>0</v>
      </c>
      <c r="D1232" s="5">
        <v>0</v>
      </c>
      <c r="E1232" s="5">
        <v>0</v>
      </c>
    </row>
    <row r="1233" spans="1:5">
      <c r="A1233" s="4" t="str">
        <f>"20228014130"</f>
        <v>20228014130</v>
      </c>
      <c r="B1233" s="4" t="str">
        <f t="shared" si="19"/>
        <v>20220304</v>
      </c>
      <c r="C1233" s="5">
        <v>0</v>
      </c>
      <c r="D1233" s="5">
        <v>0</v>
      </c>
      <c r="E1233" s="5">
        <v>0</v>
      </c>
    </row>
    <row r="1234" spans="1:5">
      <c r="A1234" s="4" t="str">
        <f>"20228014201"</f>
        <v>20228014201</v>
      </c>
      <c r="B1234" s="4" t="str">
        <f t="shared" si="19"/>
        <v>20220304</v>
      </c>
      <c r="C1234" s="5">
        <v>99.1</v>
      </c>
      <c r="D1234" s="5">
        <v>95.7</v>
      </c>
      <c r="E1234" s="5">
        <v>97.06</v>
      </c>
    </row>
    <row r="1235" spans="1:5">
      <c r="A1235" s="4" t="str">
        <f>"20228014202"</f>
        <v>20228014202</v>
      </c>
      <c r="B1235" s="4" t="str">
        <f t="shared" si="19"/>
        <v>20220304</v>
      </c>
      <c r="C1235" s="5">
        <v>0</v>
      </c>
      <c r="D1235" s="5">
        <v>0</v>
      </c>
      <c r="E1235" s="5">
        <v>0</v>
      </c>
    </row>
    <row r="1236" spans="1:5">
      <c r="A1236" s="4" t="str">
        <f>"20228014203"</f>
        <v>20228014203</v>
      </c>
      <c r="B1236" s="4" t="str">
        <f t="shared" si="19"/>
        <v>20220304</v>
      </c>
      <c r="C1236" s="5">
        <v>93.3</v>
      </c>
      <c r="D1236" s="5">
        <v>77.3</v>
      </c>
      <c r="E1236" s="5">
        <v>83.7</v>
      </c>
    </row>
    <row r="1237" spans="1:5">
      <c r="A1237" s="4" t="str">
        <f>"20228014204"</f>
        <v>20228014204</v>
      </c>
      <c r="B1237" s="4" t="str">
        <f t="shared" si="19"/>
        <v>20220304</v>
      </c>
      <c r="C1237" s="5">
        <v>0</v>
      </c>
      <c r="D1237" s="5">
        <v>0</v>
      </c>
      <c r="E1237" s="5">
        <v>0</v>
      </c>
    </row>
    <row r="1238" spans="1:5">
      <c r="A1238" s="4" t="str">
        <f>"20228014205"</f>
        <v>20228014205</v>
      </c>
      <c r="B1238" s="4" t="str">
        <f t="shared" si="19"/>
        <v>20220304</v>
      </c>
      <c r="C1238" s="5">
        <v>82</v>
      </c>
      <c r="D1238" s="5">
        <v>73.5</v>
      </c>
      <c r="E1238" s="5">
        <v>76.9</v>
      </c>
    </row>
    <row r="1239" spans="1:5">
      <c r="A1239" s="4" t="str">
        <f>"20228014206"</f>
        <v>20228014206</v>
      </c>
      <c r="B1239" s="4" t="str">
        <f t="shared" si="19"/>
        <v>20220304</v>
      </c>
      <c r="C1239" s="5">
        <v>97.6</v>
      </c>
      <c r="D1239" s="5">
        <v>85.9</v>
      </c>
      <c r="E1239" s="5">
        <v>90.58</v>
      </c>
    </row>
    <row r="1240" spans="1:5">
      <c r="A1240" s="4" t="str">
        <f>"20228014207"</f>
        <v>20228014207</v>
      </c>
      <c r="B1240" s="4" t="str">
        <f t="shared" si="19"/>
        <v>20220304</v>
      </c>
      <c r="C1240" s="5">
        <v>96.1</v>
      </c>
      <c r="D1240" s="5">
        <v>89.9</v>
      </c>
      <c r="E1240" s="5">
        <v>92.38</v>
      </c>
    </row>
    <row r="1241" spans="1:5">
      <c r="A1241" s="4" t="str">
        <f>"20228014208"</f>
        <v>20228014208</v>
      </c>
      <c r="B1241" s="4" t="str">
        <f t="shared" si="19"/>
        <v>20220304</v>
      </c>
      <c r="C1241" s="5">
        <v>89.4</v>
      </c>
      <c r="D1241" s="5">
        <v>82.7</v>
      </c>
      <c r="E1241" s="5">
        <v>85.38</v>
      </c>
    </row>
    <row r="1242" spans="1:5">
      <c r="A1242" s="4" t="str">
        <f>"20228014209"</f>
        <v>20228014209</v>
      </c>
      <c r="B1242" s="4" t="str">
        <f t="shared" si="19"/>
        <v>20220304</v>
      </c>
      <c r="C1242" s="5">
        <v>0</v>
      </c>
      <c r="D1242" s="5">
        <v>0</v>
      </c>
      <c r="E1242" s="5">
        <v>0</v>
      </c>
    </row>
    <row r="1243" spans="1:5">
      <c r="A1243" s="4" t="str">
        <f>"20228014210"</f>
        <v>20228014210</v>
      </c>
      <c r="B1243" s="4" t="str">
        <f t="shared" si="19"/>
        <v>20220304</v>
      </c>
      <c r="C1243" s="5">
        <v>92.3</v>
      </c>
      <c r="D1243" s="5">
        <v>91.3</v>
      </c>
      <c r="E1243" s="5">
        <v>91.7</v>
      </c>
    </row>
    <row r="1244" spans="1:5">
      <c r="A1244" s="4" t="str">
        <f>"20228014211"</f>
        <v>20228014211</v>
      </c>
      <c r="B1244" s="4" t="str">
        <f t="shared" si="19"/>
        <v>20220304</v>
      </c>
      <c r="C1244" s="5">
        <v>91.9</v>
      </c>
      <c r="D1244" s="5">
        <v>78.8</v>
      </c>
      <c r="E1244" s="5">
        <v>84.04</v>
      </c>
    </row>
    <row r="1245" spans="1:5">
      <c r="A1245" s="4" t="str">
        <f>"20228014212"</f>
        <v>20228014212</v>
      </c>
      <c r="B1245" s="4" t="str">
        <f t="shared" si="19"/>
        <v>20220304</v>
      </c>
      <c r="C1245" s="5">
        <v>101</v>
      </c>
      <c r="D1245" s="5">
        <v>92.6</v>
      </c>
      <c r="E1245" s="5">
        <v>95.96</v>
      </c>
    </row>
    <row r="1246" spans="1:5">
      <c r="A1246" s="4" t="str">
        <f>"20228014213"</f>
        <v>20228014213</v>
      </c>
      <c r="B1246" s="4" t="str">
        <f t="shared" si="19"/>
        <v>20220304</v>
      </c>
      <c r="C1246" s="5">
        <v>0</v>
      </c>
      <c r="D1246" s="5">
        <v>0</v>
      </c>
      <c r="E1246" s="5">
        <v>0</v>
      </c>
    </row>
    <row r="1247" spans="1:5">
      <c r="A1247" s="4" t="str">
        <f>"20228014214"</f>
        <v>20228014214</v>
      </c>
      <c r="B1247" s="4" t="str">
        <f t="shared" si="19"/>
        <v>20220304</v>
      </c>
      <c r="C1247" s="5">
        <v>0</v>
      </c>
      <c r="D1247" s="5">
        <v>0</v>
      </c>
      <c r="E1247" s="5">
        <v>0</v>
      </c>
    </row>
    <row r="1248" spans="1:5">
      <c r="A1248" s="4" t="str">
        <f>"20228014215"</f>
        <v>20228014215</v>
      </c>
      <c r="B1248" s="4" t="str">
        <f t="shared" si="19"/>
        <v>20220304</v>
      </c>
      <c r="C1248" s="5">
        <v>77</v>
      </c>
      <c r="D1248" s="5">
        <v>61.6</v>
      </c>
      <c r="E1248" s="5">
        <v>67.76</v>
      </c>
    </row>
    <row r="1249" spans="1:5">
      <c r="A1249" s="4" t="str">
        <f>"20228014216"</f>
        <v>20228014216</v>
      </c>
      <c r="B1249" s="4" t="str">
        <f t="shared" si="19"/>
        <v>20220304</v>
      </c>
      <c r="C1249" s="5">
        <v>99.1</v>
      </c>
      <c r="D1249" s="5">
        <v>89.9</v>
      </c>
      <c r="E1249" s="5">
        <v>93.58</v>
      </c>
    </row>
    <row r="1250" spans="1:5">
      <c r="A1250" s="4" t="str">
        <f>"20228014217"</f>
        <v>20228014217</v>
      </c>
      <c r="B1250" s="4" t="str">
        <f t="shared" si="19"/>
        <v>20220304</v>
      </c>
      <c r="C1250" s="5">
        <v>86.2</v>
      </c>
      <c r="D1250" s="5">
        <v>72.4</v>
      </c>
      <c r="E1250" s="5">
        <v>77.92</v>
      </c>
    </row>
    <row r="1251" spans="1:5">
      <c r="A1251" s="4" t="str">
        <f>"20228014218"</f>
        <v>20228014218</v>
      </c>
      <c r="B1251" s="4" t="str">
        <f t="shared" si="19"/>
        <v>20220304</v>
      </c>
      <c r="C1251" s="5">
        <v>0</v>
      </c>
      <c r="D1251" s="5">
        <v>0</v>
      </c>
      <c r="E1251" s="5">
        <v>0</v>
      </c>
    </row>
    <row r="1252" spans="1:5">
      <c r="A1252" s="4" t="str">
        <f>"20228014219"</f>
        <v>20228014219</v>
      </c>
      <c r="B1252" s="4" t="str">
        <f t="shared" si="19"/>
        <v>20220304</v>
      </c>
      <c r="C1252" s="5">
        <v>77.8</v>
      </c>
      <c r="D1252" s="5">
        <v>83.5</v>
      </c>
      <c r="E1252" s="5">
        <v>81.22</v>
      </c>
    </row>
    <row r="1253" spans="1:5">
      <c r="A1253" s="4" t="str">
        <f>"20228014220"</f>
        <v>20228014220</v>
      </c>
      <c r="B1253" s="4" t="str">
        <f t="shared" si="19"/>
        <v>20220304</v>
      </c>
      <c r="C1253" s="5">
        <v>0</v>
      </c>
      <c r="D1253" s="5">
        <v>0</v>
      </c>
      <c r="E1253" s="5">
        <v>0</v>
      </c>
    </row>
    <row r="1254" spans="1:5">
      <c r="A1254" s="4" t="str">
        <f>"20228014221"</f>
        <v>20228014221</v>
      </c>
      <c r="B1254" s="4" t="str">
        <f t="shared" si="19"/>
        <v>20220304</v>
      </c>
      <c r="C1254" s="5">
        <v>0</v>
      </c>
      <c r="D1254" s="5">
        <v>0</v>
      </c>
      <c r="E1254" s="5">
        <v>0</v>
      </c>
    </row>
    <row r="1255" spans="1:5">
      <c r="A1255" s="4" t="str">
        <f>"20228014222"</f>
        <v>20228014222</v>
      </c>
      <c r="B1255" s="4" t="str">
        <f t="shared" si="19"/>
        <v>20220304</v>
      </c>
      <c r="C1255" s="5">
        <v>0</v>
      </c>
      <c r="D1255" s="5">
        <v>0</v>
      </c>
      <c r="E1255" s="5">
        <v>0</v>
      </c>
    </row>
    <row r="1256" spans="1:5">
      <c r="A1256" s="4" t="str">
        <f>"20228014223"</f>
        <v>20228014223</v>
      </c>
      <c r="B1256" s="4" t="str">
        <f t="shared" si="19"/>
        <v>20220304</v>
      </c>
      <c r="C1256" s="5">
        <v>89.1</v>
      </c>
      <c r="D1256" s="5">
        <v>88.3</v>
      </c>
      <c r="E1256" s="5">
        <v>88.62</v>
      </c>
    </row>
    <row r="1257" spans="1:5">
      <c r="A1257" s="4" t="str">
        <f>"20228014224"</f>
        <v>20228014224</v>
      </c>
      <c r="B1257" s="4" t="str">
        <f t="shared" si="19"/>
        <v>20220304</v>
      </c>
      <c r="C1257" s="5">
        <v>0</v>
      </c>
      <c r="D1257" s="5">
        <v>0</v>
      </c>
      <c r="E1257" s="5">
        <v>0</v>
      </c>
    </row>
    <row r="1258" spans="1:5">
      <c r="A1258" s="4" t="str">
        <f>"20228014225"</f>
        <v>20228014225</v>
      </c>
      <c r="B1258" s="4" t="str">
        <f t="shared" si="19"/>
        <v>20220304</v>
      </c>
      <c r="C1258" s="5">
        <v>0</v>
      </c>
      <c r="D1258" s="5">
        <v>0</v>
      </c>
      <c r="E1258" s="5">
        <v>0</v>
      </c>
    </row>
    <row r="1259" spans="1:5">
      <c r="A1259" s="4" t="str">
        <f>"20228014226"</f>
        <v>20228014226</v>
      </c>
      <c r="B1259" s="4" t="str">
        <f>"20220304"</f>
        <v>20220304</v>
      </c>
      <c r="C1259" s="5">
        <v>0</v>
      </c>
      <c r="D1259" s="5">
        <v>0</v>
      </c>
      <c r="E1259" s="5">
        <v>0</v>
      </c>
    </row>
    <row r="1260" spans="1:5">
      <c r="A1260" s="4" t="str">
        <f>"20228014227"</f>
        <v>20228014227</v>
      </c>
      <c r="B1260" s="4" t="str">
        <f>"20220304"</f>
        <v>20220304</v>
      </c>
      <c r="C1260" s="5">
        <v>0</v>
      </c>
      <c r="D1260" s="5">
        <v>0</v>
      </c>
      <c r="E1260" s="5">
        <v>0</v>
      </c>
    </row>
    <row r="1261" spans="1:5">
      <c r="A1261" s="4" t="str">
        <f>"20228020101"</f>
        <v>20228020101</v>
      </c>
      <c r="B1261" s="4" t="str">
        <f t="shared" ref="B1261:B1324" si="20">"20220303"</f>
        <v>20220303</v>
      </c>
      <c r="C1261" s="5">
        <v>0</v>
      </c>
      <c r="D1261" s="5">
        <v>0</v>
      </c>
      <c r="E1261" s="5">
        <v>0</v>
      </c>
    </row>
    <row r="1262" spans="1:5">
      <c r="A1262" s="4" t="str">
        <f>"20228020102"</f>
        <v>20228020102</v>
      </c>
      <c r="B1262" s="4" t="str">
        <f t="shared" si="20"/>
        <v>20220303</v>
      </c>
      <c r="C1262" s="5">
        <v>0</v>
      </c>
      <c r="D1262" s="5">
        <v>0</v>
      </c>
      <c r="E1262" s="5">
        <v>0</v>
      </c>
    </row>
    <row r="1263" spans="1:5">
      <c r="A1263" s="4" t="str">
        <f>"20228020103"</f>
        <v>20228020103</v>
      </c>
      <c r="B1263" s="4" t="str">
        <f t="shared" si="20"/>
        <v>20220303</v>
      </c>
      <c r="C1263" s="5">
        <v>70.2</v>
      </c>
      <c r="D1263" s="5">
        <v>90.4</v>
      </c>
      <c r="E1263" s="5">
        <v>82.32</v>
      </c>
    </row>
    <row r="1264" spans="1:5">
      <c r="A1264" s="4" t="str">
        <f>"20228020104"</f>
        <v>20228020104</v>
      </c>
      <c r="B1264" s="4" t="str">
        <f t="shared" si="20"/>
        <v>20220303</v>
      </c>
      <c r="C1264" s="5">
        <v>87.6</v>
      </c>
      <c r="D1264" s="5">
        <v>86.9</v>
      </c>
      <c r="E1264" s="5">
        <v>87.18</v>
      </c>
    </row>
    <row r="1265" spans="1:5">
      <c r="A1265" s="4" t="str">
        <f>"20228020105"</f>
        <v>20228020105</v>
      </c>
      <c r="B1265" s="4" t="str">
        <f t="shared" si="20"/>
        <v>20220303</v>
      </c>
      <c r="C1265" s="5">
        <v>0</v>
      </c>
      <c r="D1265" s="5">
        <v>0</v>
      </c>
      <c r="E1265" s="5">
        <v>0</v>
      </c>
    </row>
    <row r="1266" spans="1:5">
      <c r="A1266" s="4" t="str">
        <f>"20228020106"</f>
        <v>20228020106</v>
      </c>
      <c r="B1266" s="4" t="str">
        <f t="shared" si="20"/>
        <v>20220303</v>
      </c>
      <c r="C1266" s="5">
        <v>80</v>
      </c>
      <c r="D1266" s="5">
        <v>87.4</v>
      </c>
      <c r="E1266" s="5">
        <v>84.44</v>
      </c>
    </row>
    <row r="1267" spans="1:5">
      <c r="A1267" s="4" t="str">
        <f>"20228020107"</f>
        <v>20228020107</v>
      </c>
      <c r="B1267" s="4" t="str">
        <f t="shared" si="20"/>
        <v>20220303</v>
      </c>
      <c r="C1267" s="5">
        <v>0</v>
      </c>
      <c r="D1267" s="5">
        <v>0</v>
      </c>
      <c r="E1267" s="5">
        <v>0</v>
      </c>
    </row>
    <row r="1268" spans="1:5">
      <c r="A1268" s="4" t="str">
        <f>"20228020108"</f>
        <v>20228020108</v>
      </c>
      <c r="B1268" s="4" t="str">
        <f t="shared" si="20"/>
        <v>20220303</v>
      </c>
      <c r="C1268" s="5">
        <v>80.8</v>
      </c>
      <c r="D1268" s="5">
        <v>80.9</v>
      </c>
      <c r="E1268" s="5">
        <v>80.86</v>
      </c>
    </row>
    <row r="1269" spans="1:5">
      <c r="A1269" s="4" t="str">
        <f>"20228020109"</f>
        <v>20228020109</v>
      </c>
      <c r="B1269" s="4" t="str">
        <f t="shared" si="20"/>
        <v>20220303</v>
      </c>
      <c r="C1269" s="5">
        <v>95.3</v>
      </c>
      <c r="D1269" s="5">
        <v>87.9</v>
      </c>
      <c r="E1269" s="5">
        <v>90.86</v>
      </c>
    </row>
    <row r="1270" spans="1:5">
      <c r="A1270" s="4" t="str">
        <f>"20228020110"</f>
        <v>20228020110</v>
      </c>
      <c r="B1270" s="4" t="str">
        <f t="shared" si="20"/>
        <v>20220303</v>
      </c>
      <c r="C1270" s="5">
        <v>76</v>
      </c>
      <c r="D1270" s="5">
        <v>101.8</v>
      </c>
      <c r="E1270" s="5">
        <v>91.48</v>
      </c>
    </row>
    <row r="1271" spans="1:5">
      <c r="A1271" s="4" t="str">
        <f>"20228020111"</f>
        <v>20228020111</v>
      </c>
      <c r="B1271" s="4" t="str">
        <f t="shared" si="20"/>
        <v>20220303</v>
      </c>
      <c r="C1271" s="5">
        <v>0</v>
      </c>
      <c r="D1271" s="5">
        <v>0</v>
      </c>
      <c r="E1271" s="5">
        <v>0</v>
      </c>
    </row>
    <row r="1272" spans="1:5">
      <c r="A1272" s="4" t="str">
        <f>"20228020112"</f>
        <v>20228020112</v>
      </c>
      <c r="B1272" s="4" t="str">
        <f t="shared" si="20"/>
        <v>20220303</v>
      </c>
      <c r="C1272" s="5">
        <v>94.6</v>
      </c>
      <c r="D1272" s="5">
        <v>96</v>
      </c>
      <c r="E1272" s="5">
        <v>95.44</v>
      </c>
    </row>
    <row r="1273" spans="1:5">
      <c r="A1273" s="4" t="str">
        <f>"20228020113"</f>
        <v>20228020113</v>
      </c>
      <c r="B1273" s="4" t="str">
        <f t="shared" si="20"/>
        <v>20220303</v>
      </c>
      <c r="C1273" s="5">
        <v>0</v>
      </c>
      <c r="D1273" s="5">
        <v>0</v>
      </c>
      <c r="E1273" s="5">
        <v>0</v>
      </c>
    </row>
    <row r="1274" spans="1:5">
      <c r="A1274" s="4" t="str">
        <f>"20228020114"</f>
        <v>20228020114</v>
      </c>
      <c r="B1274" s="4" t="str">
        <f t="shared" si="20"/>
        <v>20220303</v>
      </c>
      <c r="C1274" s="5">
        <v>69.7</v>
      </c>
      <c r="D1274" s="5">
        <v>86</v>
      </c>
      <c r="E1274" s="5">
        <v>79.48</v>
      </c>
    </row>
    <row r="1275" spans="1:5">
      <c r="A1275" s="4" t="str">
        <f>"20228020115"</f>
        <v>20228020115</v>
      </c>
      <c r="B1275" s="4" t="str">
        <f t="shared" si="20"/>
        <v>20220303</v>
      </c>
      <c r="C1275" s="5">
        <v>0</v>
      </c>
      <c r="D1275" s="5">
        <v>0</v>
      </c>
      <c r="E1275" s="5">
        <v>0</v>
      </c>
    </row>
    <row r="1276" spans="1:5">
      <c r="A1276" s="4" t="str">
        <f>"20228020116"</f>
        <v>20228020116</v>
      </c>
      <c r="B1276" s="4" t="str">
        <f t="shared" si="20"/>
        <v>20220303</v>
      </c>
      <c r="C1276" s="5">
        <v>81.8</v>
      </c>
      <c r="D1276" s="5">
        <v>83.9</v>
      </c>
      <c r="E1276" s="5">
        <v>83.06</v>
      </c>
    </row>
    <row r="1277" spans="1:5">
      <c r="A1277" s="4" t="str">
        <f>"20228020117"</f>
        <v>20228020117</v>
      </c>
      <c r="B1277" s="4" t="str">
        <f t="shared" si="20"/>
        <v>20220303</v>
      </c>
      <c r="C1277" s="5">
        <v>82</v>
      </c>
      <c r="D1277" s="5">
        <v>70.4</v>
      </c>
      <c r="E1277" s="5">
        <v>75.04</v>
      </c>
    </row>
    <row r="1278" spans="1:5">
      <c r="A1278" s="4" t="str">
        <f>"20228020118"</f>
        <v>20228020118</v>
      </c>
      <c r="B1278" s="4" t="str">
        <f t="shared" si="20"/>
        <v>20220303</v>
      </c>
      <c r="C1278" s="5">
        <v>80.5</v>
      </c>
      <c r="D1278" s="5">
        <v>81.5</v>
      </c>
      <c r="E1278" s="5">
        <v>81.1</v>
      </c>
    </row>
    <row r="1279" spans="1:5">
      <c r="A1279" s="4" t="str">
        <f>"20228020119"</f>
        <v>20228020119</v>
      </c>
      <c r="B1279" s="4" t="str">
        <f t="shared" si="20"/>
        <v>20220303</v>
      </c>
      <c r="C1279" s="5">
        <v>97</v>
      </c>
      <c r="D1279" s="5">
        <v>89.1</v>
      </c>
      <c r="E1279" s="5">
        <v>92.26</v>
      </c>
    </row>
    <row r="1280" spans="1:5">
      <c r="A1280" s="4" t="str">
        <f>"20228020120"</f>
        <v>20228020120</v>
      </c>
      <c r="B1280" s="4" t="str">
        <f t="shared" si="20"/>
        <v>20220303</v>
      </c>
      <c r="C1280" s="5">
        <v>0</v>
      </c>
      <c r="D1280" s="5">
        <v>0</v>
      </c>
      <c r="E1280" s="5">
        <v>0</v>
      </c>
    </row>
    <row r="1281" spans="1:5">
      <c r="A1281" s="4" t="str">
        <f>"20228020121"</f>
        <v>20228020121</v>
      </c>
      <c r="B1281" s="4" t="str">
        <f t="shared" si="20"/>
        <v>20220303</v>
      </c>
      <c r="C1281" s="5">
        <v>94.3</v>
      </c>
      <c r="D1281" s="5">
        <v>71.6</v>
      </c>
      <c r="E1281" s="5">
        <v>80.68</v>
      </c>
    </row>
    <row r="1282" spans="1:5">
      <c r="A1282" s="4" t="str">
        <f>"20228020122"</f>
        <v>20228020122</v>
      </c>
      <c r="B1282" s="4" t="str">
        <f t="shared" si="20"/>
        <v>20220303</v>
      </c>
      <c r="C1282" s="5">
        <v>68.5</v>
      </c>
      <c r="D1282" s="5">
        <v>70</v>
      </c>
      <c r="E1282" s="5">
        <v>69.4</v>
      </c>
    </row>
    <row r="1283" spans="1:5">
      <c r="A1283" s="4" t="str">
        <f>"20228020123"</f>
        <v>20228020123</v>
      </c>
      <c r="B1283" s="4" t="str">
        <f t="shared" si="20"/>
        <v>20220303</v>
      </c>
      <c r="C1283" s="5">
        <v>80.8</v>
      </c>
      <c r="D1283" s="5">
        <v>85.5</v>
      </c>
      <c r="E1283" s="5">
        <v>83.62</v>
      </c>
    </row>
    <row r="1284" spans="1:5">
      <c r="A1284" s="4" t="str">
        <f>"20228020124"</f>
        <v>20228020124</v>
      </c>
      <c r="B1284" s="4" t="str">
        <f t="shared" si="20"/>
        <v>20220303</v>
      </c>
      <c r="C1284" s="5">
        <v>100</v>
      </c>
      <c r="D1284" s="5">
        <v>81.5</v>
      </c>
      <c r="E1284" s="5">
        <v>88.9</v>
      </c>
    </row>
    <row r="1285" spans="1:5">
      <c r="A1285" s="4" t="str">
        <f>"20228020125"</f>
        <v>20228020125</v>
      </c>
      <c r="B1285" s="4" t="str">
        <f t="shared" si="20"/>
        <v>20220303</v>
      </c>
      <c r="C1285" s="5">
        <v>76.5</v>
      </c>
      <c r="D1285" s="5">
        <v>83</v>
      </c>
      <c r="E1285" s="5">
        <v>80.4</v>
      </c>
    </row>
    <row r="1286" spans="1:5">
      <c r="A1286" s="4" t="str">
        <f>"20228020126"</f>
        <v>20228020126</v>
      </c>
      <c r="B1286" s="4" t="str">
        <f t="shared" si="20"/>
        <v>20220303</v>
      </c>
      <c r="C1286" s="5">
        <v>94.4</v>
      </c>
      <c r="D1286" s="5">
        <v>84.1</v>
      </c>
      <c r="E1286" s="5">
        <v>88.22</v>
      </c>
    </row>
    <row r="1287" spans="1:5">
      <c r="A1287" s="4" t="str">
        <f>"20228020127"</f>
        <v>20228020127</v>
      </c>
      <c r="B1287" s="4" t="str">
        <f t="shared" si="20"/>
        <v>20220303</v>
      </c>
      <c r="C1287" s="5">
        <v>0</v>
      </c>
      <c r="D1287" s="5">
        <v>0</v>
      </c>
      <c r="E1287" s="5">
        <v>0</v>
      </c>
    </row>
    <row r="1288" spans="1:5">
      <c r="A1288" s="4" t="str">
        <f>"20228020128"</f>
        <v>20228020128</v>
      </c>
      <c r="B1288" s="4" t="str">
        <f t="shared" si="20"/>
        <v>20220303</v>
      </c>
      <c r="C1288" s="5">
        <v>100.1</v>
      </c>
      <c r="D1288" s="5">
        <v>98.1</v>
      </c>
      <c r="E1288" s="5">
        <v>98.9</v>
      </c>
    </row>
    <row r="1289" spans="1:5">
      <c r="A1289" s="4" t="str">
        <f>"20228020129"</f>
        <v>20228020129</v>
      </c>
      <c r="B1289" s="4" t="str">
        <f t="shared" si="20"/>
        <v>20220303</v>
      </c>
      <c r="C1289" s="5">
        <v>78.8</v>
      </c>
      <c r="D1289" s="5">
        <v>51</v>
      </c>
      <c r="E1289" s="5">
        <v>62.12</v>
      </c>
    </row>
    <row r="1290" spans="1:5">
      <c r="A1290" s="4" t="str">
        <f>"20228020130"</f>
        <v>20228020130</v>
      </c>
      <c r="B1290" s="4" t="str">
        <f t="shared" si="20"/>
        <v>20220303</v>
      </c>
      <c r="C1290" s="5">
        <v>97.9</v>
      </c>
      <c r="D1290" s="5">
        <v>89.9</v>
      </c>
      <c r="E1290" s="5">
        <v>93.1</v>
      </c>
    </row>
    <row r="1291" spans="1:5">
      <c r="A1291" s="4" t="str">
        <f>"20228020201"</f>
        <v>20228020201</v>
      </c>
      <c r="B1291" s="4" t="str">
        <f t="shared" si="20"/>
        <v>20220303</v>
      </c>
      <c r="C1291" s="5">
        <v>102.7</v>
      </c>
      <c r="D1291" s="5">
        <v>85</v>
      </c>
      <c r="E1291" s="5">
        <v>92.08</v>
      </c>
    </row>
    <row r="1292" spans="1:5">
      <c r="A1292" s="4" t="str">
        <f>"20228020202"</f>
        <v>20228020202</v>
      </c>
      <c r="B1292" s="4" t="str">
        <f t="shared" si="20"/>
        <v>20220303</v>
      </c>
      <c r="C1292" s="5">
        <v>98.9</v>
      </c>
      <c r="D1292" s="5">
        <v>87.6</v>
      </c>
      <c r="E1292" s="5">
        <v>92.12</v>
      </c>
    </row>
    <row r="1293" spans="1:5">
      <c r="A1293" s="4" t="str">
        <f>"20228020203"</f>
        <v>20228020203</v>
      </c>
      <c r="B1293" s="4" t="str">
        <f t="shared" si="20"/>
        <v>20220303</v>
      </c>
      <c r="C1293" s="5">
        <v>0</v>
      </c>
      <c r="D1293" s="5">
        <v>0</v>
      </c>
      <c r="E1293" s="5">
        <v>0</v>
      </c>
    </row>
    <row r="1294" spans="1:5">
      <c r="A1294" s="4" t="str">
        <f>"20228020204"</f>
        <v>20228020204</v>
      </c>
      <c r="B1294" s="4" t="str">
        <f t="shared" si="20"/>
        <v>20220303</v>
      </c>
      <c r="C1294" s="5">
        <v>0</v>
      </c>
      <c r="D1294" s="5">
        <v>0</v>
      </c>
      <c r="E1294" s="5">
        <v>0</v>
      </c>
    </row>
    <row r="1295" spans="1:5">
      <c r="A1295" s="4" t="str">
        <f>"20228020205"</f>
        <v>20228020205</v>
      </c>
      <c r="B1295" s="4" t="str">
        <f t="shared" si="20"/>
        <v>20220303</v>
      </c>
      <c r="C1295" s="5">
        <v>95.6</v>
      </c>
      <c r="D1295" s="5">
        <v>76.7</v>
      </c>
      <c r="E1295" s="5">
        <v>84.26</v>
      </c>
    </row>
    <row r="1296" spans="1:5">
      <c r="A1296" s="4" t="str">
        <f>"20228020206"</f>
        <v>20228020206</v>
      </c>
      <c r="B1296" s="4" t="str">
        <f t="shared" si="20"/>
        <v>20220303</v>
      </c>
      <c r="C1296" s="5">
        <v>0</v>
      </c>
      <c r="D1296" s="5">
        <v>0</v>
      </c>
      <c r="E1296" s="5">
        <v>0</v>
      </c>
    </row>
    <row r="1297" spans="1:5">
      <c r="A1297" s="4" t="str">
        <f>"20228020207"</f>
        <v>20228020207</v>
      </c>
      <c r="B1297" s="4" t="str">
        <f t="shared" si="20"/>
        <v>20220303</v>
      </c>
      <c r="C1297" s="5">
        <v>0</v>
      </c>
      <c r="D1297" s="5">
        <v>0</v>
      </c>
      <c r="E1297" s="5">
        <v>0</v>
      </c>
    </row>
    <row r="1298" spans="1:5">
      <c r="A1298" s="4" t="str">
        <f>"20228020208"</f>
        <v>20228020208</v>
      </c>
      <c r="B1298" s="4" t="str">
        <f t="shared" si="20"/>
        <v>20220303</v>
      </c>
      <c r="C1298" s="5">
        <v>104.6</v>
      </c>
      <c r="D1298" s="5">
        <v>86.6</v>
      </c>
      <c r="E1298" s="5">
        <v>93.8</v>
      </c>
    </row>
    <row r="1299" spans="1:5">
      <c r="A1299" s="4" t="str">
        <f>"20228020209"</f>
        <v>20228020209</v>
      </c>
      <c r="B1299" s="4" t="str">
        <f t="shared" si="20"/>
        <v>20220303</v>
      </c>
      <c r="C1299" s="5">
        <v>75.9</v>
      </c>
      <c r="D1299" s="5">
        <v>84.5</v>
      </c>
      <c r="E1299" s="5">
        <v>81.06</v>
      </c>
    </row>
    <row r="1300" spans="1:5">
      <c r="A1300" s="4" t="str">
        <f>"20228020210"</f>
        <v>20228020210</v>
      </c>
      <c r="B1300" s="4" t="str">
        <f t="shared" si="20"/>
        <v>20220303</v>
      </c>
      <c r="C1300" s="5">
        <v>88.8</v>
      </c>
      <c r="D1300" s="5">
        <v>81.8</v>
      </c>
      <c r="E1300" s="5">
        <v>84.6</v>
      </c>
    </row>
    <row r="1301" spans="1:5">
      <c r="A1301" s="4" t="str">
        <f>"20228020211"</f>
        <v>20228020211</v>
      </c>
      <c r="B1301" s="4" t="str">
        <f t="shared" si="20"/>
        <v>20220303</v>
      </c>
      <c r="C1301" s="5">
        <v>0</v>
      </c>
      <c r="D1301" s="5">
        <v>0</v>
      </c>
      <c r="E1301" s="5">
        <v>0</v>
      </c>
    </row>
    <row r="1302" spans="1:5">
      <c r="A1302" s="4" t="str">
        <f>"20228020212"</f>
        <v>20228020212</v>
      </c>
      <c r="B1302" s="4" t="str">
        <f t="shared" si="20"/>
        <v>20220303</v>
      </c>
      <c r="C1302" s="5">
        <v>0</v>
      </c>
      <c r="D1302" s="5">
        <v>0</v>
      </c>
      <c r="E1302" s="5">
        <v>0</v>
      </c>
    </row>
    <row r="1303" spans="1:5">
      <c r="A1303" s="4" t="str">
        <f>"20228020213"</f>
        <v>20228020213</v>
      </c>
      <c r="B1303" s="4" t="str">
        <f t="shared" si="20"/>
        <v>20220303</v>
      </c>
      <c r="C1303" s="5">
        <v>86.4</v>
      </c>
      <c r="D1303" s="5">
        <v>84.8</v>
      </c>
      <c r="E1303" s="5">
        <v>85.44</v>
      </c>
    </row>
    <row r="1304" spans="1:5">
      <c r="A1304" s="4" t="str">
        <f>"20228020214"</f>
        <v>20228020214</v>
      </c>
      <c r="B1304" s="4" t="str">
        <f t="shared" si="20"/>
        <v>20220303</v>
      </c>
      <c r="C1304" s="5">
        <v>0</v>
      </c>
      <c r="D1304" s="5">
        <v>0</v>
      </c>
      <c r="E1304" s="5">
        <v>0</v>
      </c>
    </row>
    <row r="1305" spans="1:5">
      <c r="A1305" s="4" t="str">
        <f>"20228020215"</f>
        <v>20228020215</v>
      </c>
      <c r="B1305" s="4" t="str">
        <f t="shared" si="20"/>
        <v>20220303</v>
      </c>
      <c r="C1305" s="5">
        <v>100.4</v>
      </c>
      <c r="D1305" s="5">
        <v>76</v>
      </c>
      <c r="E1305" s="5">
        <v>85.76</v>
      </c>
    </row>
    <row r="1306" spans="1:5">
      <c r="A1306" s="4" t="str">
        <f>"20228020216"</f>
        <v>20228020216</v>
      </c>
      <c r="B1306" s="4" t="str">
        <f t="shared" si="20"/>
        <v>20220303</v>
      </c>
      <c r="C1306" s="5">
        <v>83.7</v>
      </c>
      <c r="D1306" s="5">
        <v>98.2</v>
      </c>
      <c r="E1306" s="5">
        <v>92.4</v>
      </c>
    </row>
    <row r="1307" spans="1:5">
      <c r="A1307" s="4" t="str">
        <f>"20228020217"</f>
        <v>20228020217</v>
      </c>
      <c r="B1307" s="4" t="str">
        <f t="shared" si="20"/>
        <v>20220303</v>
      </c>
      <c r="C1307" s="5">
        <v>76.9</v>
      </c>
      <c r="D1307" s="5">
        <v>69.6</v>
      </c>
      <c r="E1307" s="5">
        <v>72.52</v>
      </c>
    </row>
    <row r="1308" spans="1:5">
      <c r="A1308" s="4" t="str">
        <f>"20228020218"</f>
        <v>20228020218</v>
      </c>
      <c r="B1308" s="4" t="str">
        <f t="shared" si="20"/>
        <v>20220303</v>
      </c>
      <c r="C1308" s="5">
        <v>81</v>
      </c>
      <c r="D1308" s="5">
        <v>85.8</v>
      </c>
      <c r="E1308" s="5">
        <v>83.88</v>
      </c>
    </row>
    <row r="1309" spans="1:5">
      <c r="A1309" s="4" t="str">
        <f>"20228020219"</f>
        <v>20228020219</v>
      </c>
      <c r="B1309" s="4" t="str">
        <f t="shared" si="20"/>
        <v>20220303</v>
      </c>
      <c r="C1309" s="5">
        <v>0</v>
      </c>
      <c r="D1309" s="5">
        <v>0</v>
      </c>
      <c r="E1309" s="5">
        <v>0</v>
      </c>
    </row>
    <row r="1310" spans="1:5">
      <c r="A1310" s="4" t="str">
        <f>"20228020220"</f>
        <v>20228020220</v>
      </c>
      <c r="B1310" s="4" t="str">
        <f t="shared" si="20"/>
        <v>20220303</v>
      </c>
      <c r="C1310" s="5">
        <v>93.7</v>
      </c>
      <c r="D1310" s="5">
        <v>76</v>
      </c>
      <c r="E1310" s="5">
        <v>83.08</v>
      </c>
    </row>
    <row r="1311" spans="1:5">
      <c r="A1311" s="4" t="str">
        <f>"20228020221"</f>
        <v>20228020221</v>
      </c>
      <c r="B1311" s="4" t="str">
        <f t="shared" si="20"/>
        <v>20220303</v>
      </c>
      <c r="C1311" s="5">
        <v>87</v>
      </c>
      <c r="D1311" s="5">
        <v>79.3</v>
      </c>
      <c r="E1311" s="5">
        <v>82.38</v>
      </c>
    </row>
    <row r="1312" spans="1:5">
      <c r="A1312" s="4" t="str">
        <f>"20228020222"</f>
        <v>20228020222</v>
      </c>
      <c r="B1312" s="4" t="str">
        <f t="shared" si="20"/>
        <v>20220303</v>
      </c>
      <c r="C1312" s="5">
        <v>89.1</v>
      </c>
      <c r="D1312" s="5">
        <v>73.7</v>
      </c>
      <c r="E1312" s="5">
        <v>79.86</v>
      </c>
    </row>
    <row r="1313" spans="1:5">
      <c r="A1313" s="4" t="str">
        <f>"20228020223"</f>
        <v>20228020223</v>
      </c>
      <c r="B1313" s="4" t="str">
        <f t="shared" si="20"/>
        <v>20220303</v>
      </c>
      <c r="C1313" s="5">
        <v>79.5</v>
      </c>
      <c r="D1313" s="5">
        <v>79.6</v>
      </c>
      <c r="E1313" s="5">
        <v>79.56</v>
      </c>
    </row>
    <row r="1314" spans="1:5">
      <c r="A1314" s="4" t="str">
        <f>"20228020224"</f>
        <v>20228020224</v>
      </c>
      <c r="B1314" s="4" t="str">
        <f t="shared" si="20"/>
        <v>20220303</v>
      </c>
      <c r="C1314" s="5">
        <v>82.8</v>
      </c>
      <c r="D1314" s="5">
        <v>70.3</v>
      </c>
      <c r="E1314" s="5">
        <v>75.3</v>
      </c>
    </row>
    <row r="1315" spans="1:5">
      <c r="A1315" s="4" t="str">
        <f>"20228020225"</f>
        <v>20228020225</v>
      </c>
      <c r="B1315" s="4" t="str">
        <f t="shared" si="20"/>
        <v>20220303</v>
      </c>
      <c r="C1315" s="5">
        <v>0</v>
      </c>
      <c r="D1315" s="5">
        <v>0</v>
      </c>
      <c r="E1315" s="5">
        <v>0</v>
      </c>
    </row>
    <row r="1316" spans="1:5">
      <c r="A1316" s="4" t="str">
        <f>"20228020226"</f>
        <v>20228020226</v>
      </c>
      <c r="B1316" s="4" t="str">
        <f t="shared" si="20"/>
        <v>20220303</v>
      </c>
      <c r="C1316" s="5">
        <v>0</v>
      </c>
      <c r="D1316" s="5">
        <v>0</v>
      </c>
      <c r="E1316" s="5">
        <v>0</v>
      </c>
    </row>
    <row r="1317" spans="1:5">
      <c r="A1317" s="4" t="str">
        <f>"20228020227"</f>
        <v>20228020227</v>
      </c>
      <c r="B1317" s="4" t="str">
        <f t="shared" si="20"/>
        <v>20220303</v>
      </c>
      <c r="C1317" s="5">
        <v>96</v>
      </c>
      <c r="D1317" s="5">
        <v>91.3</v>
      </c>
      <c r="E1317" s="5">
        <v>93.18</v>
      </c>
    </row>
    <row r="1318" spans="1:5">
      <c r="A1318" s="4" t="str">
        <f>"20228020228"</f>
        <v>20228020228</v>
      </c>
      <c r="B1318" s="4" t="str">
        <f t="shared" si="20"/>
        <v>20220303</v>
      </c>
      <c r="C1318" s="5">
        <v>91.8</v>
      </c>
      <c r="D1318" s="5">
        <v>87.7</v>
      </c>
      <c r="E1318" s="5">
        <v>89.34</v>
      </c>
    </row>
    <row r="1319" spans="1:5">
      <c r="A1319" s="4" t="str">
        <f>"20228020229"</f>
        <v>20228020229</v>
      </c>
      <c r="B1319" s="4" t="str">
        <f t="shared" si="20"/>
        <v>20220303</v>
      </c>
      <c r="C1319" s="5">
        <v>94.7</v>
      </c>
      <c r="D1319" s="5">
        <v>91.8</v>
      </c>
      <c r="E1319" s="5">
        <v>92.96</v>
      </c>
    </row>
    <row r="1320" spans="1:5">
      <c r="A1320" s="4" t="str">
        <f>"20228020230"</f>
        <v>20228020230</v>
      </c>
      <c r="B1320" s="4" t="str">
        <f t="shared" si="20"/>
        <v>20220303</v>
      </c>
      <c r="C1320" s="5">
        <v>0</v>
      </c>
      <c r="D1320" s="5">
        <v>0</v>
      </c>
      <c r="E1320" s="5">
        <v>0</v>
      </c>
    </row>
    <row r="1321" spans="1:5">
      <c r="A1321" s="4" t="str">
        <f>"20228020301"</f>
        <v>20228020301</v>
      </c>
      <c r="B1321" s="4" t="str">
        <f t="shared" si="20"/>
        <v>20220303</v>
      </c>
      <c r="C1321" s="5">
        <v>0</v>
      </c>
      <c r="D1321" s="5">
        <v>0</v>
      </c>
      <c r="E1321" s="5">
        <v>0</v>
      </c>
    </row>
    <row r="1322" spans="1:5">
      <c r="A1322" s="4" t="str">
        <f>"20228020302"</f>
        <v>20228020302</v>
      </c>
      <c r="B1322" s="4" t="str">
        <f t="shared" si="20"/>
        <v>20220303</v>
      </c>
      <c r="C1322" s="5">
        <v>0</v>
      </c>
      <c r="D1322" s="5">
        <v>0</v>
      </c>
      <c r="E1322" s="5">
        <v>0</v>
      </c>
    </row>
    <row r="1323" spans="1:5">
      <c r="A1323" s="4" t="str">
        <f>"20228020303"</f>
        <v>20228020303</v>
      </c>
      <c r="B1323" s="4" t="str">
        <f t="shared" si="20"/>
        <v>20220303</v>
      </c>
      <c r="C1323" s="5">
        <v>0</v>
      </c>
      <c r="D1323" s="5">
        <v>0</v>
      </c>
      <c r="E1323" s="5">
        <v>0</v>
      </c>
    </row>
    <row r="1324" spans="1:5">
      <c r="A1324" s="4" t="str">
        <f>"20228020304"</f>
        <v>20228020304</v>
      </c>
      <c r="B1324" s="4" t="str">
        <f t="shared" si="20"/>
        <v>20220303</v>
      </c>
      <c r="C1324" s="5">
        <v>93.9</v>
      </c>
      <c r="D1324" s="5">
        <v>81.9</v>
      </c>
      <c r="E1324" s="5">
        <v>86.7</v>
      </c>
    </row>
    <row r="1325" spans="1:5">
      <c r="A1325" s="4" t="str">
        <f>"20228020305"</f>
        <v>20228020305</v>
      </c>
      <c r="B1325" s="4" t="str">
        <f t="shared" ref="B1325:B1388" si="21">"20220303"</f>
        <v>20220303</v>
      </c>
      <c r="C1325" s="5">
        <v>0</v>
      </c>
      <c r="D1325" s="5">
        <v>0</v>
      </c>
      <c r="E1325" s="5">
        <v>0</v>
      </c>
    </row>
    <row r="1326" spans="1:5">
      <c r="A1326" s="4" t="str">
        <f>"20228020306"</f>
        <v>20228020306</v>
      </c>
      <c r="B1326" s="4" t="str">
        <f t="shared" si="21"/>
        <v>20220303</v>
      </c>
      <c r="C1326" s="5">
        <v>100.8</v>
      </c>
      <c r="D1326" s="5">
        <v>79.1</v>
      </c>
      <c r="E1326" s="5">
        <v>87.78</v>
      </c>
    </row>
    <row r="1327" spans="1:5">
      <c r="A1327" s="4" t="str">
        <f>"20228020307"</f>
        <v>20228020307</v>
      </c>
      <c r="B1327" s="4" t="str">
        <f t="shared" si="21"/>
        <v>20220303</v>
      </c>
      <c r="C1327" s="5">
        <v>84.1</v>
      </c>
      <c r="D1327" s="5">
        <v>60.4</v>
      </c>
      <c r="E1327" s="5">
        <v>69.88</v>
      </c>
    </row>
    <row r="1328" spans="1:5">
      <c r="A1328" s="4" t="str">
        <f>"20228020308"</f>
        <v>20228020308</v>
      </c>
      <c r="B1328" s="4" t="str">
        <f t="shared" si="21"/>
        <v>20220303</v>
      </c>
      <c r="C1328" s="5">
        <v>80.8</v>
      </c>
      <c r="D1328" s="5">
        <v>67.6</v>
      </c>
      <c r="E1328" s="5">
        <v>72.88</v>
      </c>
    </row>
    <row r="1329" spans="1:5">
      <c r="A1329" s="4" t="str">
        <f>"20228020309"</f>
        <v>20228020309</v>
      </c>
      <c r="B1329" s="4" t="str">
        <f t="shared" si="21"/>
        <v>20220303</v>
      </c>
      <c r="C1329" s="5">
        <v>0</v>
      </c>
      <c r="D1329" s="5">
        <v>0</v>
      </c>
      <c r="E1329" s="5">
        <v>0</v>
      </c>
    </row>
    <row r="1330" spans="1:5">
      <c r="A1330" s="4" t="str">
        <f>"20228020310"</f>
        <v>20228020310</v>
      </c>
      <c r="B1330" s="4" t="str">
        <f t="shared" si="21"/>
        <v>20220303</v>
      </c>
      <c r="C1330" s="5">
        <v>70.7</v>
      </c>
      <c r="D1330" s="5">
        <v>70.3</v>
      </c>
      <c r="E1330" s="5">
        <v>70.46</v>
      </c>
    </row>
    <row r="1331" spans="1:5">
      <c r="A1331" s="4" t="str">
        <f>"20228020311"</f>
        <v>20228020311</v>
      </c>
      <c r="B1331" s="4" t="str">
        <f t="shared" si="21"/>
        <v>20220303</v>
      </c>
      <c r="C1331" s="5">
        <v>90</v>
      </c>
      <c r="D1331" s="5">
        <v>94.5</v>
      </c>
      <c r="E1331" s="5">
        <v>92.7</v>
      </c>
    </row>
    <row r="1332" spans="1:5">
      <c r="A1332" s="4" t="str">
        <f>"20228020312"</f>
        <v>20228020312</v>
      </c>
      <c r="B1332" s="4" t="str">
        <f t="shared" si="21"/>
        <v>20220303</v>
      </c>
      <c r="C1332" s="5">
        <v>94.3</v>
      </c>
      <c r="D1332" s="5">
        <v>99.1</v>
      </c>
      <c r="E1332" s="5">
        <v>97.18</v>
      </c>
    </row>
    <row r="1333" spans="1:5">
      <c r="A1333" s="4" t="str">
        <f>"20228020313"</f>
        <v>20228020313</v>
      </c>
      <c r="B1333" s="4" t="str">
        <f t="shared" si="21"/>
        <v>20220303</v>
      </c>
      <c r="C1333" s="5">
        <v>64.9</v>
      </c>
      <c r="D1333" s="5">
        <v>59.8</v>
      </c>
      <c r="E1333" s="5">
        <v>61.84</v>
      </c>
    </row>
    <row r="1334" spans="1:5">
      <c r="A1334" s="4" t="str">
        <f>"20228020314"</f>
        <v>20228020314</v>
      </c>
      <c r="B1334" s="4" t="str">
        <f t="shared" si="21"/>
        <v>20220303</v>
      </c>
      <c r="C1334" s="5">
        <v>0</v>
      </c>
      <c r="D1334" s="5">
        <v>0</v>
      </c>
      <c r="E1334" s="5">
        <v>0</v>
      </c>
    </row>
    <row r="1335" spans="1:5">
      <c r="A1335" s="4" t="str">
        <f>"20228020315"</f>
        <v>20228020315</v>
      </c>
      <c r="B1335" s="4" t="str">
        <f t="shared" si="21"/>
        <v>20220303</v>
      </c>
      <c r="C1335" s="5">
        <v>96.8</v>
      </c>
      <c r="D1335" s="5">
        <v>99.1</v>
      </c>
      <c r="E1335" s="5">
        <v>98.18</v>
      </c>
    </row>
    <row r="1336" spans="1:5">
      <c r="A1336" s="4" t="str">
        <f>"20228020316"</f>
        <v>20228020316</v>
      </c>
      <c r="B1336" s="4" t="str">
        <f t="shared" si="21"/>
        <v>20220303</v>
      </c>
      <c r="C1336" s="5">
        <v>98.4</v>
      </c>
      <c r="D1336" s="5">
        <v>86.5</v>
      </c>
      <c r="E1336" s="5">
        <v>91.26</v>
      </c>
    </row>
    <row r="1337" spans="1:5">
      <c r="A1337" s="4" t="str">
        <f>"20228020317"</f>
        <v>20228020317</v>
      </c>
      <c r="B1337" s="4" t="str">
        <f t="shared" si="21"/>
        <v>20220303</v>
      </c>
      <c r="C1337" s="5">
        <v>0</v>
      </c>
      <c r="D1337" s="5">
        <v>0</v>
      </c>
      <c r="E1337" s="5">
        <v>0</v>
      </c>
    </row>
    <row r="1338" spans="1:5">
      <c r="A1338" s="4" t="str">
        <f>"20228020318"</f>
        <v>20228020318</v>
      </c>
      <c r="B1338" s="4" t="str">
        <f t="shared" si="21"/>
        <v>20220303</v>
      </c>
      <c r="C1338" s="5">
        <v>0</v>
      </c>
      <c r="D1338" s="5">
        <v>0</v>
      </c>
      <c r="E1338" s="5">
        <v>0</v>
      </c>
    </row>
    <row r="1339" spans="1:5">
      <c r="A1339" s="4" t="str">
        <f>"20228020319"</f>
        <v>20228020319</v>
      </c>
      <c r="B1339" s="4" t="str">
        <f t="shared" si="21"/>
        <v>20220303</v>
      </c>
      <c r="C1339" s="5">
        <v>0</v>
      </c>
      <c r="D1339" s="5">
        <v>0</v>
      </c>
      <c r="E1339" s="5">
        <v>0</v>
      </c>
    </row>
    <row r="1340" spans="1:5">
      <c r="A1340" s="4" t="str">
        <f>"20228020320"</f>
        <v>20228020320</v>
      </c>
      <c r="B1340" s="4" t="str">
        <f t="shared" si="21"/>
        <v>20220303</v>
      </c>
      <c r="C1340" s="5">
        <v>0</v>
      </c>
      <c r="D1340" s="5">
        <v>0</v>
      </c>
      <c r="E1340" s="5">
        <v>0</v>
      </c>
    </row>
    <row r="1341" spans="1:5">
      <c r="A1341" s="4" t="str">
        <f>"20228020321"</f>
        <v>20228020321</v>
      </c>
      <c r="B1341" s="4" t="str">
        <f t="shared" si="21"/>
        <v>20220303</v>
      </c>
      <c r="C1341" s="5">
        <v>0</v>
      </c>
      <c r="D1341" s="5">
        <v>0</v>
      </c>
      <c r="E1341" s="5">
        <v>0</v>
      </c>
    </row>
    <row r="1342" spans="1:5">
      <c r="A1342" s="4" t="str">
        <f>"20228020322"</f>
        <v>20228020322</v>
      </c>
      <c r="B1342" s="4" t="str">
        <f t="shared" si="21"/>
        <v>20220303</v>
      </c>
      <c r="C1342" s="5">
        <v>76.7</v>
      </c>
      <c r="D1342" s="5">
        <v>86.8</v>
      </c>
      <c r="E1342" s="5">
        <v>82.76</v>
      </c>
    </row>
    <row r="1343" spans="1:5">
      <c r="A1343" s="4" t="str">
        <f>"20228020323"</f>
        <v>20228020323</v>
      </c>
      <c r="B1343" s="4" t="str">
        <f t="shared" si="21"/>
        <v>20220303</v>
      </c>
      <c r="C1343" s="5">
        <v>92.7</v>
      </c>
      <c r="D1343" s="5">
        <v>95.3</v>
      </c>
      <c r="E1343" s="5">
        <v>94.26</v>
      </c>
    </row>
    <row r="1344" spans="1:5">
      <c r="A1344" s="4" t="str">
        <f>"20228020324"</f>
        <v>20228020324</v>
      </c>
      <c r="B1344" s="4" t="str">
        <f t="shared" si="21"/>
        <v>20220303</v>
      </c>
      <c r="C1344" s="5">
        <v>0</v>
      </c>
      <c r="D1344" s="5">
        <v>0</v>
      </c>
      <c r="E1344" s="5">
        <v>0</v>
      </c>
    </row>
    <row r="1345" spans="1:5">
      <c r="A1345" s="4" t="str">
        <f>"20228020325"</f>
        <v>20228020325</v>
      </c>
      <c r="B1345" s="4" t="str">
        <f t="shared" si="21"/>
        <v>20220303</v>
      </c>
      <c r="C1345" s="5">
        <v>97.8</v>
      </c>
      <c r="D1345" s="5">
        <v>68.3</v>
      </c>
      <c r="E1345" s="5">
        <v>80.1</v>
      </c>
    </row>
    <row r="1346" spans="1:5">
      <c r="A1346" s="4" t="str">
        <f>"20228020326"</f>
        <v>20228020326</v>
      </c>
      <c r="B1346" s="4" t="str">
        <f t="shared" si="21"/>
        <v>20220303</v>
      </c>
      <c r="C1346" s="5">
        <v>80.9</v>
      </c>
      <c r="D1346" s="5">
        <v>80.6</v>
      </c>
      <c r="E1346" s="5">
        <v>80.72</v>
      </c>
    </row>
    <row r="1347" spans="1:5">
      <c r="A1347" s="4" t="str">
        <f>"20228020327"</f>
        <v>20228020327</v>
      </c>
      <c r="B1347" s="4" t="str">
        <f t="shared" si="21"/>
        <v>20220303</v>
      </c>
      <c r="C1347" s="5">
        <v>0</v>
      </c>
      <c r="D1347" s="5">
        <v>0</v>
      </c>
      <c r="E1347" s="5">
        <v>0</v>
      </c>
    </row>
    <row r="1348" spans="1:5">
      <c r="A1348" s="4" t="str">
        <f>"20228020328"</f>
        <v>20228020328</v>
      </c>
      <c r="B1348" s="4" t="str">
        <f t="shared" si="21"/>
        <v>20220303</v>
      </c>
      <c r="C1348" s="5">
        <v>78.7</v>
      </c>
      <c r="D1348" s="5">
        <v>83.2</v>
      </c>
      <c r="E1348" s="5">
        <v>81.4</v>
      </c>
    </row>
    <row r="1349" spans="1:5">
      <c r="A1349" s="4" t="str">
        <f>"20228020329"</f>
        <v>20228020329</v>
      </c>
      <c r="B1349" s="4" t="str">
        <f t="shared" si="21"/>
        <v>20220303</v>
      </c>
      <c r="C1349" s="5">
        <v>0</v>
      </c>
      <c r="D1349" s="5">
        <v>0</v>
      </c>
      <c r="E1349" s="5">
        <v>0</v>
      </c>
    </row>
    <row r="1350" spans="1:5">
      <c r="A1350" s="4" t="str">
        <f>"20228020330"</f>
        <v>20228020330</v>
      </c>
      <c r="B1350" s="4" t="str">
        <f t="shared" si="21"/>
        <v>20220303</v>
      </c>
      <c r="C1350" s="5">
        <v>94.3</v>
      </c>
      <c r="D1350" s="5">
        <v>67</v>
      </c>
      <c r="E1350" s="5">
        <v>77.92</v>
      </c>
    </row>
    <row r="1351" spans="1:5">
      <c r="A1351" s="4" t="str">
        <f>"20228020401"</f>
        <v>20228020401</v>
      </c>
      <c r="B1351" s="4" t="str">
        <f t="shared" si="21"/>
        <v>20220303</v>
      </c>
      <c r="C1351" s="5">
        <v>81</v>
      </c>
      <c r="D1351" s="5">
        <v>68.9</v>
      </c>
      <c r="E1351" s="5">
        <v>73.74</v>
      </c>
    </row>
    <row r="1352" spans="1:5">
      <c r="A1352" s="4" t="str">
        <f>"20228020402"</f>
        <v>20228020402</v>
      </c>
      <c r="B1352" s="4" t="str">
        <f t="shared" si="21"/>
        <v>20220303</v>
      </c>
      <c r="C1352" s="5">
        <v>92.7</v>
      </c>
      <c r="D1352" s="5">
        <v>81.3</v>
      </c>
      <c r="E1352" s="5">
        <v>85.86</v>
      </c>
    </row>
    <row r="1353" spans="1:5">
      <c r="A1353" s="4" t="str">
        <f>"20228020403"</f>
        <v>20228020403</v>
      </c>
      <c r="B1353" s="4" t="str">
        <f t="shared" si="21"/>
        <v>20220303</v>
      </c>
      <c r="C1353" s="5">
        <v>0</v>
      </c>
      <c r="D1353" s="5">
        <v>0</v>
      </c>
      <c r="E1353" s="5">
        <v>0</v>
      </c>
    </row>
    <row r="1354" spans="1:5">
      <c r="A1354" s="4" t="str">
        <f>"20228020404"</f>
        <v>20228020404</v>
      </c>
      <c r="B1354" s="4" t="str">
        <f t="shared" si="21"/>
        <v>20220303</v>
      </c>
      <c r="C1354" s="5">
        <v>79.5</v>
      </c>
      <c r="D1354" s="5">
        <v>73.2</v>
      </c>
      <c r="E1354" s="5">
        <v>75.72</v>
      </c>
    </row>
    <row r="1355" spans="1:5">
      <c r="A1355" s="4" t="str">
        <f>"20228020405"</f>
        <v>20228020405</v>
      </c>
      <c r="B1355" s="4" t="str">
        <f t="shared" si="21"/>
        <v>20220303</v>
      </c>
      <c r="C1355" s="5">
        <v>79.6</v>
      </c>
      <c r="D1355" s="5">
        <v>93.4</v>
      </c>
      <c r="E1355" s="5">
        <v>87.88</v>
      </c>
    </row>
    <row r="1356" spans="1:5">
      <c r="A1356" s="4" t="str">
        <f>"20228020406"</f>
        <v>20228020406</v>
      </c>
      <c r="B1356" s="4" t="str">
        <f t="shared" si="21"/>
        <v>20220303</v>
      </c>
      <c r="C1356" s="5">
        <v>0</v>
      </c>
      <c r="D1356" s="5">
        <v>0</v>
      </c>
      <c r="E1356" s="5">
        <v>0</v>
      </c>
    </row>
    <row r="1357" spans="1:5">
      <c r="A1357" s="4" t="str">
        <f>"20228020407"</f>
        <v>20228020407</v>
      </c>
      <c r="B1357" s="4" t="str">
        <f t="shared" si="21"/>
        <v>20220303</v>
      </c>
      <c r="C1357" s="5">
        <v>93.4</v>
      </c>
      <c r="D1357" s="5">
        <v>65.7</v>
      </c>
      <c r="E1357" s="5">
        <v>76.78</v>
      </c>
    </row>
    <row r="1358" spans="1:5">
      <c r="A1358" s="4" t="str">
        <f>"20228020408"</f>
        <v>20228020408</v>
      </c>
      <c r="B1358" s="4" t="str">
        <f t="shared" si="21"/>
        <v>20220303</v>
      </c>
      <c r="C1358" s="5">
        <v>0</v>
      </c>
      <c r="D1358" s="5">
        <v>0</v>
      </c>
      <c r="E1358" s="5">
        <v>0</v>
      </c>
    </row>
    <row r="1359" spans="1:5">
      <c r="A1359" s="4" t="str">
        <f>"20228020409"</f>
        <v>20228020409</v>
      </c>
      <c r="B1359" s="4" t="str">
        <f t="shared" si="21"/>
        <v>20220303</v>
      </c>
      <c r="C1359" s="5">
        <v>83.9</v>
      </c>
      <c r="D1359" s="5">
        <v>67.6</v>
      </c>
      <c r="E1359" s="5">
        <v>74.12</v>
      </c>
    </row>
    <row r="1360" spans="1:5">
      <c r="A1360" s="4" t="str">
        <f>"20228020410"</f>
        <v>20228020410</v>
      </c>
      <c r="B1360" s="4" t="str">
        <f t="shared" si="21"/>
        <v>20220303</v>
      </c>
      <c r="C1360" s="5">
        <v>88.7</v>
      </c>
      <c r="D1360" s="5">
        <v>65.8</v>
      </c>
      <c r="E1360" s="5">
        <v>74.96</v>
      </c>
    </row>
    <row r="1361" spans="1:5">
      <c r="A1361" s="4" t="str">
        <f>"20228020411"</f>
        <v>20228020411</v>
      </c>
      <c r="B1361" s="4" t="str">
        <f t="shared" si="21"/>
        <v>20220303</v>
      </c>
      <c r="C1361" s="5">
        <v>0</v>
      </c>
      <c r="D1361" s="5">
        <v>0</v>
      </c>
      <c r="E1361" s="5">
        <v>0</v>
      </c>
    </row>
    <row r="1362" spans="1:5">
      <c r="A1362" s="4" t="str">
        <f>"20228020412"</f>
        <v>20228020412</v>
      </c>
      <c r="B1362" s="4" t="str">
        <f t="shared" si="21"/>
        <v>20220303</v>
      </c>
      <c r="C1362" s="5">
        <v>83.9</v>
      </c>
      <c r="D1362" s="5">
        <v>77.6</v>
      </c>
      <c r="E1362" s="5">
        <v>80.12</v>
      </c>
    </row>
    <row r="1363" spans="1:5">
      <c r="A1363" s="4" t="str">
        <f>"20228020413"</f>
        <v>20228020413</v>
      </c>
      <c r="B1363" s="4" t="str">
        <f t="shared" si="21"/>
        <v>20220303</v>
      </c>
      <c r="C1363" s="5">
        <v>0</v>
      </c>
      <c r="D1363" s="5">
        <v>0</v>
      </c>
      <c r="E1363" s="5">
        <v>0</v>
      </c>
    </row>
    <row r="1364" spans="1:5">
      <c r="A1364" s="4" t="str">
        <f>"20228020414"</f>
        <v>20228020414</v>
      </c>
      <c r="B1364" s="4" t="str">
        <f t="shared" si="21"/>
        <v>20220303</v>
      </c>
      <c r="C1364" s="5">
        <v>84</v>
      </c>
      <c r="D1364" s="5">
        <v>85.3</v>
      </c>
      <c r="E1364" s="5">
        <v>84.78</v>
      </c>
    </row>
    <row r="1365" spans="1:5">
      <c r="A1365" s="4" t="str">
        <f>"20228020415"</f>
        <v>20228020415</v>
      </c>
      <c r="B1365" s="4" t="str">
        <f t="shared" si="21"/>
        <v>20220303</v>
      </c>
      <c r="C1365" s="5">
        <v>97.6</v>
      </c>
      <c r="D1365" s="5">
        <v>75.7</v>
      </c>
      <c r="E1365" s="5">
        <v>84.46</v>
      </c>
    </row>
    <row r="1366" spans="1:5">
      <c r="A1366" s="4" t="str">
        <f>"20228020416"</f>
        <v>20228020416</v>
      </c>
      <c r="B1366" s="4" t="str">
        <f t="shared" si="21"/>
        <v>20220303</v>
      </c>
      <c r="C1366" s="5">
        <v>0</v>
      </c>
      <c r="D1366" s="5">
        <v>0</v>
      </c>
      <c r="E1366" s="5">
        <v>0</v>
      </c>
    </row>
    <row r="1367" spans="1:5">
      <c r="A1367" s="4" t="str">
        <f>"20228020417"</f>
        <v>20228020417</v>
      </c>
      <c r="B1367" s="4" t="str">
        <f t="shared" si="21"/>
        <v>20220303</v>
      </c>
      <c r="C1367" s="5">
        <v>91.3</v>
      </c>
      <c r="D1367" s="5">
        <v>80</v>
      </c>
      <c r="E1367" s="5">
        <v>84.52</v>
      </c>
    </row>
    <row r="1368" spans="1:5">
      <c r="A1368" s="4" t="str">
        <f>"20228020418"</f>
        <v>20228020418</v>
      </c>
      <c r="B1368" s="4" t="str">
        <f t="shared" si="21"/>
        <v>20220303</v>
      </c>
      <c r="C1368" s="5">
        <v>89.9</v>
      </c>
      <c r="D1368" s="5">
        <v>87.1</v>
      </c>
      <c r="E1368" s="5">
        <v>88.22</v>
      </c>
    </row>
    <row r="1369" spans="1:5">
      <c r="A1369" s="4" t="str">
        <f>"20228020419"</f>
        <v>20228020419</v>
      </c>
      <c r="B1369" s="4" t="str">
        <f t="shared" si="21"/>
        <v>20220303</v>
      </c>
      <c r="C1369" s="5">
        <v>0</v>
      </c>
      <c r="D1369" s="5">
        <v>0</v>
      </c>
      <c r="E1369" s="5">
        <v>0</v>
      </c>
    </row>
    <row r="1370" spans="1:5">
      <c r="A1370" s="4" t="str">
        <f>"20228020420"</f>
        <v>20228020420</v>
      </c>
      <c r="B1370" s="4" t="str">
        <f t="shared" si="21"/>
        <v>20220303</v>
      </c>
      <c r="C1370" s="5">
        <v>94.6</v>
      </c>
      <c r="D1370" s="5">
        <v>96.4</v>
      </c>
      <c r="E1370" s="5">
        <v>95.68</v>
      </c>
    </row>
    <row r="1371" spans="1:5">
      <c r="A1371" s="4" t="str">
        <f>"20228020421"</f>
        <v>20228020421</v>
      </c>
      <c r="B1371" s="4" t="str">
        <f t="shared" si="21"/>
        <v>20220303</v>
      </c>
      <c r="C1371" s="5">
        <v>97.5</v>
      </c>
      <c r="D1371" s="5">
        <v>73.6</v>
      </c>
      <c r="E1371" s="5">
        <v>83.16</v>
      </c>
    </row>
    <row r="1372" spans="1:5">
      <c r="A1372" s="4" t="str">
        <f>"20228020422"</f>
        <v>20228020422</v>
      </c>
      <c r="B1372" s="4" t="str">
        <f t="shared" si="21"/>
        <v>20220303</v>
      </c>
      <c r="C1372" s="5">
        <v>97</v>
      </c>
      <c r="D1372" s="5">
        <v>96.7</v>
      </c>
      <c r="E1372" s="5">
        <v>96.82</v>
      </c>
    </row>
    <row r="1373" spans="1:5">
      <c r="A1373" s="4" t="str">
        <f>"20228020423"</f>
        <v>20228020423</v>
      </c>
      <c r="B1373" s="4" t="str">
        <f t="shared" si="21"/>
        <v>20220303</v>
      </c>
      <c r="C1373" s="5">
        <v>0</v>
      </c>
      <c r="D1373" s="5">
        <v>0</v>
      </c>
      <c r="E1373" s="5">
        <v>0</v>
      </c>
    </row>
    <row r="1374" spans="1:5">
      <c r="A1374" s="4" t="str">
        <f>"20228020424"</f>
        <v>20228020424</v>
      </c>
      <c r="B1374" s="4" t="str">
        <f t="shared" si="21"/>
        <v>20220303</v>
      </c>
      <c r="C1374" s="5">
        <v>86.9</v>
      </c>
      <c r="D1374" s="5">
        <v>82.4</v>
      </c>
      <c r="E1374" s="5">
        <v>84.2</v>
      </c>
    </row>
    <row r="1375" spans="1:5">
      <c r="A1375" s="4" t="str">
        <f>"20228020425"</f>
        <v>20228020425</v>
      </c>
      <c r="B1375" s="4" t="str">
        <f t="shared" si="21"/>
        <v>20220303</v>
      </c>
      <c r="C1375" s="5">
        <v>97</v>
      </c>
      <c r="D1375" s="5">
        <v>74.4</v>
      </c>
      <c r="E1375" s="5">
        <v>83.44</v>
      </c>
    </row>
    <row r="1376" spans="1:5">
      <c r="A1376" s="4" t="str">
        <f>"20228020426"</f>
        <v>20228020426</v>
      </c>
      <c r="B1376" s="4" t="str">
        <f t="shared" si="21"/>
        <v>20220303</v>
      </c>
      <c r="C1376" s="5">
        <v>86</v>
      </c>
      <c r="D1376" s="5">
        <v>77.5</v>
      </c>
      <c r="E1376" s="5">
        <v>80.9</v>
      </c>
    </row>
    <row r="1377" spans="1:5">
      <c r="A1377" s="4" t="str">
        <f>"20228020427"</f>
        <v>20228020427</v>
      </c>
      <c r="B1377" s="4" t="str">
        <f t="shared" si="21"/>
        <v>20220303</v>
      </c>
      <c r="C1377" s="5">
        <v>91.7</v>
      </c>
      <c r="D1377" s="5">
        <v>84.7</v>
      </c>
      <c r="E1377" s="5">
        <v>87.5</v>
      </c>
    </row>
    <row r="1378" spans="1:5">
      <c r="A1378" s="4" t="str">
        <f>"20228020428"</f>
        <v>20228020428</v>
      </c>
      <c r="B1378" s="4" t="str">
        <f t="shared" si="21"/>
        <v>20220303</v>
      </c>
      <c r="C1378" s="5">
        <v>0</v>
      </c>
      <c r="D1378" s="5">
        <v>0</v>
      </c>
      <c r="E1378" s="5">
        <v>0</v>
      </c>
    </row>
    <row r="1379" spans="1:5">
      <c r="A1379" s="4" t="str">
        <f>"20228020429"</f>
        <v>20228020429</v>
      </c>
      <c r="B1379" s="4" t="str">
        <f t="shared" si="21"/>
        <v>20220303</v>
      </c>
      <c r="C1379" s="5">
        <v>87.2</v>
      </c>
      <c r="D1379" s="5">
        <v>90.3</v>
      </c>
      <c r="E1379" s="5">
        <v>89.06</v>
      </c>
    </row>
    <row r="1380" spans="1:5">
      <c r="A1380" s="4" t="str">
        <f>"20228020430"</f>
        <v>20228020430</v>
      </c>
      <c r="B1380" s="4" t="str">
        <f t="shared" si="21"/>
        <v>20220303</v>
      </c>
      <c r="C1380" s="5">
        <v>78.6</v>
      </c>
      <c r="D1380" s="5">
        <v>94.6</v>
      </c>
      <c r="E1380" s="5">
        <v>88.2</v>
      </c>
    </row>
    <row r="1381" spans="1:5">
      <c r="A1381" s="4" t="str">
        <f>"20228020501"</f>
        <v>20228020501</v>
      </c>
      <c r="B1381" s="4" t="str">
        <f t="shared" si="21"/>
        <v>20220303</v>
      </c>
      <c r="C1381" s="5">
        <v>102.8</v>
      </c>
      <c r="D1381" s="5">
        <v>85</v>
      </c>
      <c r="E1381" s="5">
        <v>92.12</v>
      </c>
    </row>
    <row r="1382" spans="1:5">
      <c r="A1382" s="4" t="str">
        <f>"20228020502"</f>
        <v>20228020502</v>
      </c>
      <c r="B1382" s="4" t="str">
        <f t="shared" si="21"/>
        <v>20220303</v>
      </c>
      <c r="C1382" s="5">
        <v>99.3</v>
      </c>
      <c r="D1382" s="5">
        <v>92.7</v>
      </c>
      <c r="E1382" s="5">
        <v>95.34</v>
      </c>
    </row>
    <row r="1383" spans="1:5">
      <c r="A1383" s="4" t="str">
        <f>"20228020503"</f>
        <v>20228020503</v>
      </c>
      <c r="B1383" s="4" t="str">
        <f t="shared" si="21"/>
        <v>20220303</v>
      </c>
      <c r="C1383" s="5">
        <v>89.2</v>
      </c>
      <c r="D1383" s="5">
        <v>82.2</v>
      </c>
      <c r="E1383" s="5">
        <v>85</v>
      </c>
    </row>
    <row r="1384" spans="1:5">
      <c r="A1384" s="4" t="str">
        <f>"20228020504"</f>
        <v>20228020504</v>
      </c>
      <c r="B1384" s="4" t="str">
        <f t="shared" si="21"/>
        <v>20220303</v>
      </c>
      <c r="C1384" s="5">
        <v>74.8</v>
      </c>
      <c r="D1384" s="5">
        <v>77.6</v>
      </c>
      <c r="E1384" s="5">
        <v>76.48</v>
      </c>
    </row>
    <row r="1385" spans="1:5">
      <c r="A1385" s="4" t="str">
        <f>"20228020505"</f>
        <v>20228020505</v>
      </c>
      <c r="B1385" s="4" t="str">
        <f t="shared" si="21"/>
        <v>20220303</v>
      </c>
      <c r="C1385" s="5">
        <v>87.7</v>
      </c>
      <c r="D1385" s="5">
        <v>81.4</v>
      </c>
      <c r="E1385" s="5">
        <v>83.92</v>
      </c>
    </row>
    <row r="1386" spans="1:5">
      <c r="A1386" s="4" t="str">
        <f>"20228020506"</f>
        <v>20228020506</v>
      </c>
      <c r="B1386" s="4" t="str">
        <f t="shared" si="21"/>
        <v>20220303</v>
      </c>
      <c r="C1386" s="5">
        <v>0</v>
      </c>
      <c r="D1386" s="5">
        <v>0</v>
      </c>
      <c r="E1386" s="5">
        <v>0</v>
      </c>
    </row>
    <row r="1387" spans="1:5">
      <c r="A1387" s="4" t="str">
        <f>"20228020507"</f>
        <v>20228020507</v>
      </c>
      <c r="B1387" s="4" t="str">
        <f t="shared" si="21"/>
        <v>20220303</v>
      </c>
      <c r="C1387" s="5">
        <v>0</v>
      </c>
      <c r="D1387" s="5">
        <v>0</v>
      </c>
      <c r="E1387" s="5">
        <v>0</v>
      </c>
    </row>
    <row r="1388" spans="1:5">
      <c r="A1388" s="4" t="str">
        <f>"20228020508"</f>
        <v>20228020508</v>
      </c>
      <c r="B1388" s="4" t="str">
        <f t="shared" si="21"/>
        <v>20220303</v>
      </c>
      <c r="C1388" s="5">
        <v>0</v>
      </c>
      <c r="D1388" s="5">
        <v>0</v>
      </c>
      <c r="E1388" s="5">
        <v>0</v>
      </c>
    </row>
    <row r="1389" spans="1:5">
      <c r="A1389" s="4" t="str">
        <f>"20228020509"</f>
        <v>20228020509</v>
      </c>
      <c r="B1389" s="4" t="str">
        <f t="shared" ref="B1389:B1440" si="22">"20220303"</f>
        <v>20220303</v>
      </c>
      <c r="C1389" s="5">
        <v>66.7</v>
      </c>
      <c r="D1389" s="5">
        <v>65.5</v>
      </c>
      <c r="E1389" s="5">
        <v>65.98</v>
      </c>
    </row>
    <row r="1390" spans="1:5">
      <c r="A1390" s="4" t="str">
        <f>"20228020510"</f>
        <v>20228020510</v>
      </c>
      <c r="B1390" s="4" t="str">
        <f t="shared" si="22"/>
        <v>20220303</v>
      </c>
      <c r="C1390" s="5">
        <v>0</v>
      </c>
      <c r="D1390" s="5">
        <v>0</v>
      </c>
      <c r="E1390" s="5">
        <v>0</v>
      </c>
    </row>
    <row r="1391" spans="1:5">
      <c r="A1391" s="4" t="str">
        <f>"20228020511"</f>
        <v>20228020511</v>
      </c>
      <c r="B1391" s="4" t="str">
        <f t="shared" si="22"/>
        <v>20220303</v>
      </c>
      <c r="C1391" s="5">
        <v>67</v>
      </c>
      <c r="D1391" s="5">
        <v>69.5</v>
      </c>
      <c r="E1391" s="5">
        <v>68.5</v>
      </c>
    </row>
    <row r="1392" spans="1:5">
      <c r="A1392" s="4" t="str">
        <f>"20228020512"</f>
        <v>20228020512</v>
      </c>
      <c r="B1392" s="4" t="str">
        <f t="shared" si="22"/>
        <v>20220303</v>
      </c>
      <c r="C1392" s="5">
        <v>89.9</v>
      </c>
      <c r="D1392" s="5">
        <v>66.5</v>
      </c>
      <c r="E1392" s="5">
        <v>75.86</v>
      </c>
    </row>
    <row r="1393" spans="1:5">
      <c r="A1393" s="4" t="str">
        <f>"20228020513"</f>
        <v>20228020513</v>
      </c>
      <c r="B1393" s="4" t="str">
        <f t="shared" si="22"/>
        <v>20220303</v>
      </c>
      <c r="C1393" s="5">
        <v>0</v>
      </c>
      <c r="D1393" s="5">
        <v>0</v>
      </c>
      <c r="E1393" s="5">
        <v>0</v>
      </c>
    </row>
    <row r="1394" spans="1:5">
      <c r="A1394" s="4" t="str">
        <f>"20228020514"</f>
        <v>20228020514</v>
      </c>
      <c r="B1394" s="4" t="str">
        <f t="shared" si="22"/>
        <v>20220303</v>
      </c>
      <c r="C1394" s="5">
        <v>98.6</v>
      </c>
      <c r="D1394" s="5">
        <v>80.3</v>
      </c>
      <c r="E1394" s="5">
        <v>87.62</v>
      </c>
    </row>
    <row r="1395" spans="1:5">
      <c r="A1395" s="4" t="str">
        <f>"20228020515"</f>
        <v>20228020515</v>
      </c>
      <c r="B1395" s="4" t="str">
        <f t="shared" si="22"/>
        <v>20220303</v>
      </c>
      <c r="C1395" s="5">
        <v>93.4</v>
      </c>
      <c r="D1395" s="5">
        <v>75.2</v>
      </c>
      <c r="E1395" s="5">
        <v>82.48</v>
      </c>
    </row>
    <row r="1396" spans="1:5">
      <c r="A1396" s="4" t="str">
        <f>"20228020516"</f>
        <v>20228020516</v>
      </c>
      <c r="B1396" s="4" t="str">
        <f t="shared" si="22"/>
        <v>20220303</v>
      </c>
      <c r="C1396" s="5">
        <v>98.1</v>
      </c>
      <c r="D1396" s="5">
        <v>92.3</v>
      </c>
      <c r="E1396" s="5">
        <v>94.62</v>
      </c>
    </row>
    <row r="1397" spans="1:5">
      <c r="A1397" s="4" t="str">
        <f>"20228020517"</f>
        <v>20228020517</v>
      </c>
      <c r="B1397" s="4" t="str">
        <f t="shared" si="22"/>
        <v>20220303</v>
      </c>
      <c r="C1397" s="5">
        <v>84.5</v>
      </c>
      <c r="D1397" s="5">
        <v>64.1</v>
      </c>
      <c r="E1397" s="5">
        <v>72.26</v>
      </c>
    </row>
    <row r="1398" spans="1:5">
      <c r="A1398" s="4" t="str">
        <f>"20228020518"</f>
        <v>20228020518</v>
      </c>
      <c r="B1398" s="4" t="str">
        <f t="shared" si="22"/>
        <v>20220303</v>
      </c>
      <c r="C1398" s="5">
        <v>0</v>
      </c>
      <c r="D1398" s="5">
        <v>0</v>
      </c>
      <c r="E1398" s="5">
        <v>0</v>
      </c>
    </row>
    <row r="1399" spans="1:5">
      <c r="A1399" s="4" t="str">
        <f>"20228020519"</f>
        <v>20228020519</v>
      </c>
      <c r="B1399" s="4" t="str">
        <f t="shared" si="22"/>
        <v>20220303</v>
      </c>
      <c r="C1399" s="5">
        <v>64.5</v>
      </c>
      <c r="D1399" s="5">
        <v>73.5</v>
      </c>
      <c r="E1399" s="5">
        <v>69.9</v>
      </c>
    </row>
    <row r="1400" spans="1:5">
      <c r="A1400" s="4" t="str">
        <f>"20228020520"</f>
        <v>20228020520</v>
      </c>
      <c r="B1400" s="4" t="str">
        <f t="shared" si="22"/>
        <v>20220303</v>
      </c>
      <c r="C1400" s="5">
        <v>84.2</v>
      </c>
      <c r="D1400" s="5">
        <v>79.6</v>
      </c>
      <c r="E1400" s="5">
        <v>81.44</v>
      </c>
    </row>
    <row r="1401" spans="1:5">
      <c r="A1401" s="4" t="str">
        <f>"20228020521"</f>
        <v>20228020521</v>
      </c>
      <c r="B1401" s="4" t="str">
        <f t="shared" si="22"/>
        <v>20220303</v>
      </c>
      <c r="C1401" s="5">
        <v>84</v>
      </c>
      <c r="D1401" s="5">
        <v>82.1</v>
      </c>
      <c r="E1401" s="5">
        <v>82.86</v>
      </c>
    </row>
    <row r="1402" spans="1:5">
      <c r="A1402" s="4" t="str">
        <f>"20228020522"</f>
        <v>20228020522</v>
      </c>
      <c r="B1402" s="4" t="str">
        <f t="shared" si="22"/>
        <v>20220303</v>
      </c>
      <c r="C1402" s="5">
        <v>69</v>
      </c>
      <c r="D1402" s="5">
        <v>82.6</v>
      </c>
      <c r="E1402" s="5">
        <v>77.16</v>
      </c>
    </row>
    <row r="1403" spans="1:5">
      <c r="A1403" s="4" t="str">
        <f>"20228020523"</f>
        <v>20228020523</v>
      </c>
      <c r="B1403" s="4" t="str">
        <f t="shared" si="22"/>
        <v>20220303</v>
      </c>
      <c r="C1403" s="5">
        <v>86</v>
      </c>
      <c r="D1403" s="5">
        <v>68.4</v>
      </c>
      <c r="E1403" s="5">
        <v>75.44</v>
      </c>
    </row>
    <row r="1404" spans="1:5">
      <c r="A1404" s="4" t="str">
        <f>"20228020524"</f>
        <v>20228020524</v>
      </c>
      <c r="B1404" s="4" t="str">
        <f t="shared" si="22"/>
        <v>20220303</v>
      </c>
      <c r="C1404" s="5">
        <v>83.2</v>
      </c>
      <c r="D1404" s="5">
        <v>74.8</v>
      </c>
      <c r="E1404" s="5">
        <v>78.16</v>
      </c>
    </row>
    <row r="1405" spans="1:5">
      <c r="A1405" s="4" t="str">
        <f>"20228020525"</f>
        <v>20228020525</v>
      </c>
      <c r="B1405" s="4" t="str">
        <f t="shared" si="22"/>
        <v>20220303</v>
      </c>
      <c r="C1405" s="5">
        <v>75.3</v>
      </c>
      <c r="D1405" s="5">
        <v>64.5</v>
      </c>
      <c r="E1405" s="5">
        <v>68.82</v>
      </c>
    </row>
    <row r="1406" spans="1:5">
      <c r="A1406" s="4" t="str">
        <f>"20228020526"</f>
        <v>20228020526</v>
      </c>
      <c r="B1406" s="4" t="str">
        <f t="shared" si="22"/>
        <v>20220303</v>
      </c>
      <c r="C1406" s="5">
        <v>0</v>
      </c>
      <c r="D1406" s="5">
        <v>0</v>
      </c>
      <c r="E1406" s="5">
        <v>0</v>
      </c>
    </row>
    <row r="1407" spans="1:5">
      <c r="A1407" s="4" t="str">
        <f>"20228020527"</f>
        <v>20228020527</v>
      </c>
      <c r="B1407" s="4" t="str">
        <f t="shared" si="22"/>
        <v>20220303</v>
      </c>
      <c r="C1407" s="5">
        <v>85.9</v>
      </c>
      <c r="D1407" s="5">
        <v>72.6</v>
      </c>
      <c r="E1407" s="5">
        <v>77.92</v>
      </c>
    </row>
    <row r="1408" spans="1:5">
      <c r="A1408" s="4" t="str">
        <f>"20228020528"</f>
        <v>20228020528</v>
      </c>
      <c r="B1408" s="4" t="str">
        <f t="shared" si="22"/>
        <v>20220303</v>
      </c>
      <c r="C1408" s="5">
        <v>89.5</v>
      </c>
      <c r="D1408" s="5">
        <v>78.2</v>
      </c>
      <c r="E1408" s="5">
        <v>82.72</v>
      </c>
    </row>
    <row r="1409" spans="1:5">
      <c r="A1409" s="4" t="str">
        <f>"20228020529"</f>
        <v>20228020529</v>
      </c>
      <c r="B1409" s="4" t="str">
        <f t="shared" si="22"/>
        <v>20220303</v>
      </c>
      <c r="C1409" s="5">
        <v>95.4</v>
      </c>
      <c r="D1409" s="5">
        <v>86.8</v>
      </c>
      <c r="E1409" s="5">
        <v>90.24</v>
      </c>
    </row>
    <row r="1410" spans="1:5">
      <c r="A1410" s="4" t="str">
        <f>"20228020530"</f>
        <v>20228020530</v>
      </c>
      <c r="B1410" s="4" t="str">
        <f t="shared" si="22"/>
        <v>20220303</v>
      </c>
      <c r="C1410" s="5">
        <v>99</v>
      </c>
      <c r="D1410" s="5">
        <v>71.3</v>
      </c>
      <c r="E1410" s="5">
        <v>82.38</v>
      </c>
    </row>
    <row r="1411" spans="1:5">
      <c r="A1411" s="4" t="str">
        <f>"20228020601"</f>
        <v>20228020601</v>
      </c>
      <c r="B1411" s="4" t="str">
        <f t="shared" si="22"/>
        <v>20220303</v>
      </c>
      <c r="C1411" s="5">
        <v>92.6</v>
      </c>
      <c r="D1411" s="5">
        <v>93.5</v>
      </c>
      <c r="E1411" s="5">
        <v>93.14</v>
      </c>
    </row>
    <row r="1412" spans="1:5">
      <c r="A1412" s="4" t="str">
        <f>"20228020602"</f>
        <v>20228020602</v>
      </c>
      <c r="B1412" s="4" t="str">
        <f t="shared" si="22"/>
        <v>20220303</v>
      </c>
      <c r="C1412" s="5">
        <v>91</v>
      </c>
      <c r="D1412" s="5">
        <v>71.5</v>
      </c>
      <c r="E1412" s="5">
        <v>79.3</v>
      </c>
    </row>
    <row r="1413" spans="1:5">
      <c r="A1413" s="4" t="str">
        <f>"20228020603"</f>
        <v>20228020603</v>
      </c>
      <c r="B1413" s="4" t="str">
        <f t="shared" si="22"/>
        <v>20220303</v>
      </c>
      <c r="C1413" s="5">
        <v>87.6</v>
      </c>
      <c r="D1413" s="5">
        <v>91.9</v>
      </c>
      <c r="E1413" s="5">
        <v>90.18</v>
      </c>
    </row>
    <row r="1414" spans="1:5">
      <c r="A1414" s="4" t="str">
        <f>"20228020604"</f>
        <v>20228020604</v>
      </c>
      <c r="B1414" s="4" t="str">
        <f t="shared" si="22"/>
        <v>20220303</v>
      </c>
      <c r="C1414" s="5">
        <v>95.9</v>
      </c>
      <c r="D1414" s="5">
        <v>92.2</v>
      </c>
      <c r="E1414" s="5">
        <v>93.68</v>
      </c>
    </row>
    <row r="1415" spans="1:5">
      <c r="A1415" s="4" t="str">
        <f>"20228020605"</f>
        <v>20228020605</v>
      </c>
      <c r="B1415" s="4" t="str">
        <f t="shared" si="22"/>
        <v>20220303</v>
      </c>
      <c r="C1415" s="5">
        <v>72.8</v>
      </c>
      <c r="D1415" s="5">
        <v>57.1</v>
      </c>
      <c r="E1415" s="5">
        <v>63.38</v>
      </c>
    </row>
    <row r="1416" spans="1:5">
      <c r="A1416" s="4" t="str">
        <f>"20228020606"</f>
        <v>20228020606</v>
      </c>
      <c r="B1416" s="4" t="str">
        <f t="shared" si="22"/>
        <v>20220303</v>
      </c>
      <c r="C1416" s="5">
        <v>91.5</v>
      </c>
      <c r="D1416" s="5">
        <v>85.7</v>
      </c>
      <c r="E1416" s="5">
        <v>88.02</v>
      </c>
    </row>
    <row r="1417" spans="1:5">
      <c r="A1417" s="4" t="str">
        <f>"20228020607"</f>
        <v>20228020607</v>
      </c>
      <c r="B1417" s="4" t="str">
        <f t="shared" si="22"/>
        <v>20220303</v>
      </c>
      <c r="C1417" s="5">
        <v>0</v>
      </c>
      <c r="D1417" s="5">
        <v>0</v>
      </c>
      <c r="E1417" s="5">
        <v>0</v>
      </c>
    </row>
    <row r="1418" spans="1:5">
      <c r="A1418" s="4" t="str">
        <f>"20228020608"</f>
        <v>20228020608</v>
      </c>
      <c r="B1418" s="4" t="str">
        <f t="shared" si="22"/>
        <v>20220303</v>
      </c>
      <c r="C1418" s="5">
        <v>81.9</v>
      </c>
      <c r="D1418" s="5">
        <v>86.8</v>
      </c>
      <c r="E1418" s="5">
        <v>84.84</v>
      </c>
    </row>
    <row r="1419" spans="1:5">
      <c r="A1419" s="4" t="str">
        <f>"20228020609"</f>
        <v>20228020609</v>
      </c>
      <c r="B1419" s="4" t="str">
        <f t="shared" si="22"/>
        <v>20220303</v>
      </c>
      <c r="C1419" s="5">
        <v>95.2</v>
      </c>
      <c r="D1419" s="5">
        <v>73.9</v>
      </c>
      <c r="E1419" s="5">
        <v>82.42</v>
      </c>
    </row>
    <row r="1420" spans="1:5">
      <c r="A1420" s="4" t="str">
        <f>"20228020610"</f>
        <v>20228020610</v>
      </c>
      <c r="B1420" s="4" t="str">
        <f t="shared" si="22"/>
        <v>20220303</v>
      </c>
      <c r="C1420" s="5">
        <v>74.1</v>
      </c>
      <c r="D1420" s="5">
        <v>70.2</v>
      </c>
      <c r="E1420" s="5">
        <v>71.76</v>
      </c>
    </row>
    <row r="1421" spans="1:5">
      <c r="A1421" s="4" t="str">
        <f>"20228020611"</f>
        <v>20228020611</v>
      </c>
      <c r="B1421" s="4" t="str">
        <f t="shared" si="22"/>
        <v>20220303</v>
      </c>
      <c r="C1421" s="5">
        <v>89.7</v>
      </c>
      <c r="D1421" s="5">
        <v>92.9</v>
      </c>
      <c r="E1421" s="5">
        <v>91.62</v>
      </c>
    </row>
    <row r="1422" spans="1:5">
      <c r="A1422" s="4" t="str">
        <f>"20228020612"</f>
        <v>20228020612</v>
      </c>
      <c r="B1422" s="4" t="str">
        <f t="shared" si="22"/>
        <v>20220303</v>
      </c>
      <c r="C1422" s="5">
        <v>78</v>
      </c>
      <c r="D1422" s="5">
        <v>87.5</v>
      </c>
      <c r="E1422" s="5">
        <v>83.7</v>
      </c>
    </row>
    <row r="1423" spans="1:5">
      <c r="A1423" s="4" t="str">
        <f>"20228020613"</f>
        <v>20228020613</v>
      </c>
      <c r="B1423" s="4" t="str">
        <f t="shared" si="22"/>
        <v>20220303</v>
      </c>
      <c r="C1423" s="5">
        <v>97.5</v>
      </c>
      <c r="D1423" s="5">
        <v>101.3</v>
      </c>
      <c r="E1423" s="5">
        <v>99.78</v>
      </c>
    </row>
    <row r="1424" spans="1:5">
      <c r="A1424" s="4" t="str">
        <f>"20228020614"</f>
        <v>20228020614</v>
      </c>
      <c r="B1424" s="4" t="str">
        <f t="shared" si="22"/>
        <v>20220303</v>
      </c>
      <c r="C1424" s="5">
        <v>97.8</v>
      </c>
      <c r="D1424" s="5">
        <v>84.8</v>
      </c>
      <c r="E1424" s="5">
        <v>90</v>
      </c>
    </row>
    <row r="1425" spans="1:5">
      <c r="A1425" s="4" t="str">
        <f>"20228020615"</f>
        <v>20228020615</v>
      </c>
      <c r="B1425" s="4" t="str">
        <f t="shared" si="22"/>
        <v>20220303</v>
      </c>
      <c r="C1425" s="5">
        <v>89.7</v>
      </c>
      <c r="D1425" s="5">
        <v>91.8</v>
      </c>
      <c r="E1425" s="5">
        <v>90.96</v>
      </c>
    </row>
    <row r="1426" spans="1:5">
      <c r="A1426" s="4" t="str">
        <f>"20228020616"</f>
        <v>20228020616</v>
      </c>
      <c r="B1426" s="4" t="str">
        <f t="shared" si="22"/>
        <v>20220303</v>
      </c>
      <c r="C1426" s="5">
        <v>88.5</v>
      </c>
      <c r="D1426" s="5">
        <v>92.3</v>
      </c>
      <c r="E1426" s="5">
        <v>90.78</v>
      </c>
    </row>
    <row r="1427" spans="1:5">
      <c r="A1427" s="4" t="str">
        <f>"20228020617"</f>
        <v>20228020617</v>
      </c>
      <c r="B1427" s="4" t="str">
        <f t="shared" si="22"/>
        <v>20220303</v>
      </c>
      <c r="C1427" s="5">
        <v>0</v>
      </c>
      <c r="D1427" s="5">
        <v>0</v>
      </c>
      <c r="E1427" s="5">
        <v>0</v>
      </c>
    </row>
    <row r="1428" spans="1:5">
      <c r="A1428" s="4" t="str">
        <f>"20228020618"</f>
        <v>20228020618</v>
      </c>
      <c r="B1428" s="4" t="str">
        <f t="shared" si="22"/>
        <v>20220303</v>
      </c>
      <c r="C1428" s="5">
        <v>60.8</v>
      </c>
      <c r="D1428" s="5">
        <v>28.5</v>
      </c>
      <c r="E1428" s="5">
        <v>41.42</v>
      </c>
    </row>
    <row r="1429" spans="1:5">
      <c r="A1429" s="4" t="str">
        <f>"20228020619"</f>
        <v>20228020619</v>
      </c>
      <c r="B1429" s="4" t="str">
        <f t="shared" si="22"/>
        <v>20220303</v>
      </c>
      <c r="C1429" s="5">
        <v>0</v>
      </c>
      <c r="D1429" s="5">
        <v>0</v>
      </c>
      <c r="E1429" s="5">
        <v>0</v>
      </c>
    </row>
    <row r="1430" spans="1:5">
      <c r="A1430" s="4" t="str">
        <f>"20228020620"</f>
        <v>20228020620</v>
      </c>
      <c r="B1430" s="4" t="str">
        <f t="shared" si="22"/>
        <v>20220303</v>
      </c>
      <c r="C1430" s="5">
        <v>75.3</v>
      </c>
      <c r="D1430" s="5">
        <v>90.4</v>
      </c>
      <c r="E1430" s="5">
        <v>84.36</v>
      </c>
    </row>
    <row r="1431" spans="1:5">
      <c r="A1431" s="4" t="str">
        <f>"20228020621"</f>
        <v>20228020621</v>
      </c>
      <c r="B1431" s="4" t="str">
        <f t="shared" si="22"/>
        <v>20220303</v>
      </c>
      <c r="C1431" s="5">
        <v>88.8</v>
      </c>
      <c r="D1431" s="5">
        <v>78.2</v>
      </c>
      <c r="E1431" s="5">
        <v>82.44</v>
      </c>
    </row>
    <row r="1432" spans="1:5">
      <c r="A1432" s="4" t="str">
        <f>"20228020622"</f>
        <v>20228020622</v>
      </c>
      <c r="B1432" s="4" t="str">
        <f t="shared" si="22"/>
        <v>20220303</v>
      </c>
      <c r="C1432" s="5">
        <v>0</v>
      </c>
      <c r="D1432" s="5">
        <v>0</v>
      </c>
      <c r="E1432" s="5">
        <v>0</v>
      </c>
    </row>
    <row r="1433" spans="1:5">
      <c r="A1433" s="4" t="str">
        <f>"20228020623"</f>
        <v>20228020623</v>
      </c>
      <c r="B1433" s="4" t="str">
        <f t="shared" si="22"/>
        <v>20220303</v>
      </c>
      <c r="C1433" s="5">
        <v>0</v>
      </c>
      <c r="D1433" s="5">
        <v>0</v>
      </c>
      <c r="E1433" s="5">
        <v>0</v>
      </c>
    </row>
    <row r="1434" spans="1:5">
      <c r="A1434" s="4" t="str">
        <f>"20228020624"</f>
        <v>20228020624</v>
      </c>
      <c r="B1434" s="4" t="str">
        <f t="shared" si="22"/>
        <v>20220303</v>
      </c>
      <c r="C1434" s="5">
        <v>92.9</v>
      </c>
      <c r="D1434" s="5">
        <v>75.1</v>
      </c>
      <c r="E1434" s="5">
        <v>82.22</v>
      </c>
    </row>
    <row r="1435" spans="1:5">
      <c r="A1435" s="4" t="str">
        <f>"20228020625"</f>
        <v>20228020625</v>
      </c>
      <c r="B1435" s="4" t="str">
        <f t="shared" si="22"/>
        <v>20220303</v>
      </c>
      <c r="C1435" s="5">
        <v>90.8</v>
      </c>
      <c r="D1435" s="5">
        <v>77.1</v>
      </c>
      <c r="E1435" s="5">
        <v>82.58</v>
      </c>
    </row>
    <row r="1436" spans="1:5">
      <c r="A1436" s="4" t="str">
        <f>"20228020626"</f>
        <v>20228020626</v>
      </c>
      <c r="B1436" s="4" t="str">
        <f t="shared" si="22"/>
        <v>20220303</v>
      </c>
      <c r="C1436" s="5">
        <v>96</v>
      </c>
      <c r="D1436" s="5">
        <v>69.5</v>
      </c>
      <c r="E1436" s="5">
        <v>80.1</v>
      </c>
    </row>
    <row r="1437" spans="1:5">
      <c r="A1437" s="4" t="str">
        <f>"20228020627"</f>
        <v>20228020627</v>
      </c>
      <c r="B1437" s="4" t="str">
        <f t="shared" si="22"/>
        <v>20220303</v>
      </c>
      <c r="C1437" s="5">
        <v>84.9</v>
      </c>
      <c r="D1437" s="5">
        <v>69.8</v>
      </c>
      <c r="E1437" s="5">
        <v>75.84</v>
      </c>
    </row>
    <row r="1438" spans="1:5">
      <c r="A1438" s="4" t="str">
        <f>"20228020628"</f>
        <v>20228020628</v>
      </c>
      <c r="B1438" s="4" t="str">
        <f t="shared" si="22"/>
        <v>20220303</v>
      </c>
      <c r="C1438" s="5">
        <v>78.1</v>
      </c>
      <c r="D1438" s="5">
        <v>75</v>
      </c>
      <c r="E1438" s="5">
        <v>76.24</v>
      </c>
    </row>
    <row r="1439" spans="1:5">
      <c r="A1439" s="4" t="str">
        <f>"20228020629"</f>
        <v>20228020629</v>
      </c>
      <c r="B1439" s="4" t="str">
        <f t="shared" si="22"/>
        <v>20220303</v>
      </c>
      <c r="C1439" s="5">
        <v>0</v>
      </c>
      <c r="D1439" s="5">
        <v>0</v>
      </c>
      <c r="E1439" s="5">
        <v>0</v>
      </c>
    </row>
    <row r="1440" spans="1:5">
      <c r="A1440" s="4" t="str">
        <f>"20228020630"</f>
        <v>20228020630</v>
      </c>
      <c r="B1440" s="4" t="str">
        <f t="shared" si="22"/>
        <v>20220303</v>
      </c>
      <c r="C1440" s="5">
        <v>82.7</v>
      </c>
      <c r="D1440" s="5">
        <v>83.5</v>
      </c>
      <c r="E1440" s="5">
        <v>83.18</v>
      </c>
    </row>
    <row r="1441" spans="1:5">
      <c r="A1441" s="4" t="str">
        <f>"20228020701"</f>
        <v>20228020701</v>
      </c>
      <c r="B1441" s="4" t="str">
        <f t="shared" ref="B1441:B1504" si="23">"20220305"</f>
        <v>20220305</v>
      </c>
      <c r="C1441" s="5">
        <v>0</v>
      </c>
      <c r="D1441" s="5">
        <v>0</v>
      </c>
      <c r="E1441" s="5">
        <v>0</v>
      </c>
    </row>
    <row r="1442" spans="1:5">
      <c r="A1442" s="4" t="str">
        <f>"20228020702"</f>
        <v>20228020702</v>
      </c>
      <c r="B1442" s="4" t="str">
        <f t="shared" si="23"/>
        <v>20220305</v>
      </c>
      <c r="C1442" s="5">
        <v>0</v>
      </c>
      <c r="D1442" s="5">
        <v>0</v>
      </c>
      <c r="E1442" s="5">
        <v>0</v>
      </c>
    </row>
    <row r="1443" spans="1:5">
      <c r="A1443" s="4" t="str">
        <f>"20228020703"</f>
        <v>20228020703</v>
      </c>
      <c r="B1443" s="4" t="str">
        <f t="shared" si="23"/>
        <v>20220305</v>
      </c>
      <c r="C1443" s="5">
        <v>0</v>
      </c>
      <c r="D1443" s="5">
        <v>0</v>
      </c>
      <c r="E1443" s="5">
        <v>0</v>
      </c>
    </row>
    <row r="1444" spans="1:5">
      <c r="A1444" s="4" t="str">
        <f>"20228020704"</f>
        <v>20228020704</v>
      </c>
      <c r="B1444" s="4" t="str">
        <f t="shared" si="23"/>
        <v>20220305</v>
      </c>
      <c r="C1444" s="5">
        <v>78</v>
      </c>
      <c r="D1444" s="5">
        <v>82.9</v>
      </c>
      <c r="E1444" s="5">
        <v>80.94</v>
      </c>
    </row>
    <row r="1445" spans="1:5">
      <c r="A1445" s="4" t="str">
        <f>"20228020705"</f>
        <v>20228020705</v>
      </c>
      <c r="B1445" s="4" t="str">
        <f t="shared" si="23"/>
        <v>20220305</v>
      </c>
      <c r="C1445" s="5">
        <v>89.6</v>
      </c>
      <c r="D1445" s="5">
        <v>86.3</v>
      </c>
      <c r="E1445" s="5">
        <v>87.62</v>
      </c>
    </row>
    <row r="1446" spans="1:5">
      <c r="A1446" s="4" t="str">
        <f>"20228020706"</f>
        <v>20228020706</v>
      </c>
      <c r="B1446" s="4" t="str">
        <f t="shared" si="23"/>
        <v>20220305</v>
      </c>
      <c r="C1446" s="5">
        <v>0</v>
      </c>
      <c r="D1446" s="5">
        <v>0</v>
      </c>
      <c r="E1446" s="5">
        <v>0</v>
      </c>
    </row>
    <row r="1447" spans="1:5">
      <c r="A1447" s="4" t="str">
        <f>"20228020707"</f>
        <v>20228020707</v>
      </c>
      <c r="B1447" s="4" t="str">
        <f t="shared" si="23"/>
        <v>20220305</v>
      </c>
      <c r="C1447" s="5">
        <v>95.9</v>
      </c>
      <c r="D1447" s="5">
        <v>97.3</v>
      </c>
      <c r="E1447" s="5">
        <v>96.74</v>
      </c>
    </row>
    <row r="1448" spans="1:5">
      <c r="A1448" s="4" t="str">
        <f>"20228020708"</f>
        <v>20228020708</v>
      </c>
      <c r="B1448" s="4" t="str">
        <f t="shared" si="23"/>
        <v>20220305</v>
      </c>
      <c r="C1448" s="5">
        <v>84.3</v>
      </c>
      <c r="D1448" s="5">
        <v>96.8</v>
      </c>
      <c r="E1448" s="5">
        <v>91.8</v>
      </c>
    </row>
    <row r="1449" spans="1:5">
      <c r="A1449" s="4" t="str">
        <f>"20228020709"</f>
        <v>20228020709</v>
      </c>
      <c r="B1449" s="4" t="str">
        <f t="shared" si="23"/>
        <v>20220305</v>
      </c>
      <c r="C1449" s="5">
        <v>0</v>
      </c>
      <c r="D1449" s="5">
        <v>0</v>
      </c>
      <c r="E1449" s="5">
        <v>0</v>
      </c>
    </row>
    <row r="1450" spans="1:5">
      <c r="A1450" s="4" t="str">
        <f>"20228020710"</f>
        <v>20228020710</v>
      </c>
      <c r="B1450" s="4" t="str">
        <f t="shared" si="23"/>
        <v>20220305</v>
      </c>
      <c r="C1450" s="5">
        <v>0</v>
      </c>
      <c r="D1450" s="5">
        <v>0</v>
      </c>
      <c r="E1450" s="5">
        <v>0</v>
      </c>
    </row>
    <row r="1451" spans="1:5">
      <c r="A1451" s="4" t="str">
        <f>"20228020711"</f>
        <v>20228020711</v>
      </c>
      <c r="B1451" s="4" t="str">
        <f t="shared" si="23"/>
        <v>20220305</v>
      </c>
      <c r="C1451" s="5">
        <v>85.5</v>
      </c>
      <c r="D1451" s="5">
        <v>95.8</v>
      </c>
      <c r="E1451" s="5">
        <v>91.68</v>
      </c>
    </row>
    <row r="1452" spans="1:5">
      <c r="A1452" s="4" t="str">
        <f>"20228020712"</f>
        <v>20228020712</v>
      </c>
      <c r="B1452" s="4" t="str">
        <f t="shared" si="23"/>
        <v>20220305</v>
      </c>
      <c r="C1452" s="5">
        <v>0</v>
      </c>
      <c r="D1452" s="5">
        <v>0</v>
      </c>
      <c r="E1452" s="5">
        <v>0</v>
      </c>
    </row>
    <row r="1453" spans="1:5">
      <c r="A1453" s="4" t="str">
        <f>"20228020713"</f>
        <v>20228020713</v>
      </c>
      <c r="B1453" s="4" t="str">
        <f t="shared" si="23"/>
        <v>20220305</v>
      </c>
      <c r="C1453" s="5">
        <v>0</v>
      </c>
      <c r="D1453" s="5">
        <v>0</v>
      </c>
      <c r="E1453" s="5">
        <v>0</v>
      </c>
    </row>
    <row r="1454" spans="1:5">
      <c r="A1454" s="4" t="str">
        <f>"20228020714"</f>
        <v>20228020714</v>
      </c>
      <c r="B1454" s="4" t="str">
        <f t="shared" si="23"/>
        <v>20220305</v>
      </c>
      <c r="C1454" s="5">
        <v>60.7</v>
      </c>
      <c r="D1454" s="5">
        <v>70.8</v>
      </c>
      <c r="E1454" s="5">
        <v>66.76</v>
      </c>
    </row>
    <row r="1455" spans="1:5">
      <c r="A1455" s="4" t="str">
        <f>"20228020715"</f>
        <v>20228020715</v>
      </c>
      <c r="B1455" s="4" t="str">
        <f t="shared" si="23"/>
        <v>20220305</v>
      </c>
      <c r="C1455" s="5">
        <v>90.1</v>
      </c>
      <c r="D1455" s="5">
        <v>94.4</v>
      </c>
      <c r="E1455" s="5">
        <v>92.68</v>
      </c>
    </row>
    <row r="1456" spans="1:5">
      <c r="A1456" s="4" t="str">
        <f>"20228020716"</f>
        <v>20228020716</v>
      </c>
      <c r="B1456" s="4" t="str">
        <f t="shared" si="23"/>
        <v>20220305</v>
      </c>
      <c r="C1456" s="5">
        <v>89.6</v>
      </c>
      <c r="D1456" s="5">
        <v>93.7</v>
      </c>
      <c r="E1456" s="5">
        <v>92.06</v>
      </c>
    </row>
    <row r="1457" spans="1:5">
      <c r="A1457" s="4" t="str">
        <f>"20228020717"</f>
        <v>20228020717</v>
      </c>
      <c r="B1457" s="4" t="str">
        <f t="shared" si="23"/>
        <v>20220305</v>
      </c>
      <c r="C1457" s="5">
        <v>85.1</v>
      </c>
      <c r="D1457" s="5">
        <v>93</v>
      </c>
      <c r="E1457" s="5">
        <v>89.84</v>
      </c>
    </row>
    <row r="1458" spans="1:5">
      <c r="A1458" s="4" t="str">
        <f>"20228020718"</f>
        <v>20228020718</v>
      </c>
      <c r="B1458" s="4" t="str">
        <f t="shared" si="23"/>
        <v>20220305</v>
      </c>
      <c r="C1458" s="5">
        <v>76.7</v>
      </c>
      <c r="D1458" s="5">
        <v>88.9</v>
      </c>
      <c r="E1458" s="5">
        <v>84.02</v>
      </c>
    </row>
    <row r="1459" spans="1:5">
      <c r="A1459" s="4" t="str">
        <f>"20228020719"</f>
        <v>20228020719</v>
      </c>
      <c r="B1459" s="4" t="str">
        <f t="shared" si="23"/>
        <v>20220305</v>
      </c>
      <c r="C1459" s="5">
        <v>76.8</v>
      </c>
      <c r="D1459" s="5">
        <v>99.7</v>
      </c>
      <c r="E1459" s="5">
        <v>90.54</v>
      </c>
    </row>
    <row r="1460" spans="1:5">
      <c r="A1460" s="4" t="str">
        <f>"20228020720"</f>
        <v>20228020720</v>
      </c>
      <c r="B1460" s="4" t="str">
        <f t="shared" si="23"/>
        <v>20220305</v>
      </c>
      <c r="C1460" s="5">
        <v>74.9</v>
      </c>
      <c r="D1460" s="5">
        <v>95.3</v>
      </c>
      <c r="E1460" s="5">
        <v>87.14</v>
      </c>
    </row>
    <row r="1461" spans="1:5">
      <c r="A1461" s="4" t="str">
        <f>"20228020721"</f>
        <v>20228020721</v>
      </c>
      <c r="B1461" s="4" t="str">
        <f t="shared" si="23"/>
        <v>20220305</v>
      </c>
      <c r="C1461" s="5">
        <v>0</v>
      </c>
      <c r="D1461" s="5">
        <v>0</v>
      </c>
      <c r="E1461" s="5">
        <v>0</v>
      </c>
    </row>
    <row r="1462" spans="1:5">
      <c r="A1462" s="4" t="str">
        <f>"20228020722"</f>
        <v>20228020722</v>
      </c>
      <c r="B1462" s="4" t="str">
        <f t="shared" si="23"/>
        <v>20220305</v>
      </c>
      <c r="C1462" s="5">
        <v>93.3</v>
      </c>
      <c r="D1462" s="5">
        <v>100.8</v>
      </c>
      <c r="E1462" s="5">
        <v>97.8</v>
      </c>
    </row>
    <row r="1463" spans="1:5">
      <c r="A1463" s="4" t="str">
        <f>"20228020723"</f>
        <v>20228020723</v>
      </c>
      <c r="B1463" s="4" t="str">
        <f t="shared" si="23"/>
        <v>20220305</v>
      </c>
      <c r="C1463" s="5">
        <v>90.3</v>
      </c>
      <c r="D1463" s="5">
        <v>102.3</v>
      </c>
      <c r="E1463" s="5">
        <v>97.5</v>
      </c>
    </row>
    <row r="1464" spans="1:5">
      <c r="A1464" s="4" t="str">
        <f>"20228020724"</f>
        <v>20228020724</v>
      </c>
      <c r="B1464" s="4" t="str">
        <f t="shared" si="23"/>
        <v>20220305</v>
      </c>
      <c r="C1464" s="5">
        <v>0</v>
      </c>
      <c r="D1464" s="5">
        <v>0</v>
      </c>
      <c r="E1464" s="5">
        <v>0</v>
      </c>
    </row>
    <row r="1465" spans="1:5">
      <c r="A1465" s="4" t="str">
        <f>"20228020725"</f>
        <v>20228020725</v>
      </c>
      <c r="B1465" s="4" t="str">
        <f t="shared" si="23"/>
        <v>20220305</v>
      </c>
      <c r="C1465" s="5">
        <v>88.9</v>
      </c>
      <c r="D1465" s="5">
        <v>100.1</v>
      </c>
      <c r="E1465" s="5">
        <v>95.62</v>
      </c>
    </row>
    <row r="1466" spans="1:5">
      <c r="A1466" s="4" t="str">
        <f>"20228020726"</f>
        <v>20228020726</v>
      </c>
      <c r="B1466" s="4" t="str">
        <f t="shared" si="23"/>
        <v>20220305</v>
      </c>
      <c r="C1466" s="5">
        <v>84.4</v>
      </c>
      <c r="D1466" s="5">
        <v>84.6</v>
      </c>
      <c r="E1466" s="5">
        <v>84.52</v>
      </c>
    </row>
    <row r="1467" spans="1:5">
      <c r="A1467" s="4" t="str">
        <f>"20228020727"</f>
        <v>20228020727</v>
      </c>
      <c r="B1467" s="4" t="str">
        <f t="shared" si="23"/>
        <v>20220305</v>
      </c>
      <c r="C1467" s="5">
        <v>75.4</v>
      </c>
      <c r="D1467" s="5">
        <v>84.2</v>
      </c>
      <c r="E1467" s="5">
        <v>80.68</v>
      </c>
    </row>
    <row r="1468" spans="1:5">
      <c r="A1468" s="4" t="str">
        <f>"20228020728"</f>
        <v>20228020728</v>
      </c>
      <c r="B1468" s="4" t="str">
        <f t="shared" si="23"/>
        <v>20220305</v>
      </c>
      <c r="C1468" s="5">
        <v>79.3</v>
      </c>
      <c r="D1468" s="5">
        <v>90.4</v>
      </c>
      <c r="E1468" s="5">
        <v>85.96</v>
      </c>
    </row>
    <row r="1469" spans="1:5">
      <c r="A1469" s="4" t="str">
        <f>"20228020729"</f>
        <v>20228020729</v>
      </c>
      <c r="B1469" s="4" t="str">
        <f t="shared" si="23"/>
        <v>20220305</v>
      </c>
      <c r="C1469" s="5">
        <v>0</v>
      </c>
      <c r="D1469" s="5">
        <v>0</v>
      </c>
      <c r="E1469" s="5">
        <v>0</v>
      </c>
    </row>
    <row r="1470" spans="1:5">
      <c r="A1470" s="4" t="str">
        <f>"20228020730"</f>
        <v>20228020730</v>
      </c>
      <c r="B1470" s="4" t="str">
        <f t="shared" si="23"/>
        <v>20220305</v>
      </c>
      <c r="C1470" s="5">
        <v>0</v>
      </c>
      <c r="D1470" s="5">
        <v>0</v>
      </c>
      <c r="E1470" s="5">
        <v>0</v>
      </c>
    </row>
    <row r="1471" spans="1:5">
      <c r="A1471" s="4" t="str">
        <f>"20228020801"</f>
        <v>20228020801</v>
      </c>
      <c r="B1471" s="4" t="str">
        <f t="shared" si="23"/>
        <v>20220305</v>
      </c>
      <c r="C1471" s="5">
        <v>75</v>
      </c>
      <c r="D1471" s="5">
        <v>83</v>
      </c>
      <c r="E1471" s="5">
        <v>79.8</v>
      </c>
    </row>
    <row r="1472" spans="1:5">
      <c r="A1472" s="4" t="str">
        <f>"20228020802"</f>
        <v>20228020802</v>
      </c>
      <c r="B1472" s="4" t="str">
        <f t="shared" si="23"/>
        <v>20220305</v>
      </c>
      <c r="C1472" s="5">
        <v>0</v>
      </c>
      <c r="D1472" s="5">
        <v>0</v>
      </c>
      <c r="E1472" s="5">
        <v>0</v>
      </c>
    </row>
    <row r="1473" spans="1:5">
      <c r="A1473" s="4" t="str">
        <f>"20228020803"</f>
        <v>20228020803</v>
      </c>
      <c r="B1473" s="4" t="str">
        <f t="shared" si="23"/>
        <v>20220305</v>
      </c>
      <c r="C1473" s="5">
        <v>83</v>
      </c>
      <c r="D1473" s="5">
        <v>95.9</v>
      </c>
      <c r="E1473" s="5">
        <v>90.74</v>
      </c>
    </row>
    <row r="1474" spans="1:5">
      <c r="A1474" s="4" t="str">
        <f>"20228020804"</f>
        <v>20228020804</v>
      </c>
      <c r="B1474" s="4" t="str">
        <f t="shared" si="23"/>
        <v>20220305</v>
      </c>
      <c r="C1474" s="5">
        <v>0</v>
      </c>
      <c r="D1474" s="5">
        <v>0</v>
      </c>
      <c r="E1474" s="5">
        <v>0</v>
      </c>
    </row>
    <row r="1475" spans="1:5">
      <c r="A1475" s="4" t="str">
        <f>"20228020805"</f>
        <v>20228020805</v>
      </c>
      <c r="B1475" s="4" t="str">
        <f t="shared" si="23"/>
        <v>20220305</v>
      </c>
      <c r="C1475" s="5">
        <v>0</v>
      </c>
      <c r="D1475" s="5">
        <v>0</v>
      </c>
      <c r="E1475" s="5">
        <v>0</v>
      </c>
    </row>
    <row r="1476" spans="1:5">
      <c r="A1476" s="4" t="str">
        <f>"20228020806"</f>
        <v>20228020806</v>
      </c>
      <c r="B1476" s="4" t="str">
        <f t="shared" si="23"/>
        <v>20220305</v>
      </c>
      <c r="C1476" s="5">
        <v>0</v>
      </c>
      <c r="D1476" s="5">
        <v>0</v>
      </c>
      <c r="E1476" s="5">
        <v>0</v>
      </c>
    </row>
    <row r="1477" spans="1:5">
      <c r="A1477" s="4" t="str">
        <f>"20228020807"</f>
        <v>20228020807</v>
      </c>
      <c r="B1477" s="4" t="str">
        <f t="shared" si="23"/>
        <v>20220305</v>
      </c>
      <c r="C1477" s="5">
        <v>78.6</v>
      </c>
      <c r="D1477" s="5">
        <v>92.6</v>
      </c>
      <c r="E1477" s="5">
        <v>87</v>
      </c>
    </row>
    <row r="1478" spans="1:5">
      <c r="A1478" s="4" t="str">
        <f>"20228020808"</f>
        <v>20228020808</v>
      </c>
      <c r="B1478" s="4" t="str">
        <f t="shared" si="23"/>
        <v>20220305</v>
      </c>
      <c r="C1478" s="5">
        <v>0</v>
      </c>
      <c r="D1478" s="5">
        <v>0</v>
      </c>
      <c r="E1478" s="5">
        <v>0</v>
      </c>
    </row>
    <row r="1479" spans="1:5">
      <c r="A1479" s="4" t="str">
        <f>"20228020809"</f>
        <v>20228020809</v>
      </c>
      <c r="B1479" s="4" t="str">
        <f t="shared" si="23"/>
        <v>20220305</v>
      </c>
      <c r="C1479" s="5">
        <v>0</v>
      </c>
      <c r="D1479" s="5">
        <v>0</v>
      </c>
      <c r="E1479" s="5">
        <v>0</v>
      </c>
    </row>
    <row r="1480" spans="1:5">
      <c r="A1480" s="4" t="str">
        <f>"20228020810"</f>
        <v>20228020810</v>
      </c>
      <c r="B1480" s="4" t="str">
        <f t="shared" si="23"/>
        <v>20220305</v>
      </c>
      <c r="C1480" s="5">
        <v>0</v>
      </c>
      <c r="D1480" s="5">
        <v>0</v>
      </c>
      <c r="E1480" s="5">
        <v>0</v>
      </c>
    </row>
    <row r="1481" spans="1:5">
      <c r="A1481" s="4" t="str">
        <f>"20228020811"</f>
        <v>20228020811</v>
      </c>
      <c r="B1481" s="4" t="str">
        <f t="shared" si="23"/>
        <v>20220305</v>
      </c>
      <c r="C1481" s="5">
        <v>0</v>
      </c>
      <c r="D1481" s="5">
        <v>0</v>
      </c>
      <c r="E1481" s="5">
        <v>0</v>
      </c>
    </row>
    <row r="1482" spans="1:5">
      <c r="A1482" s="4" t="str">
        <f>"20228020812"</f>
        <v>20228020812</v>
      </c>
      <c r="B1482" s="4" t="str">
        <f t="shared" si="23"/>
        <v>20220305</v>
      </c>
      <c r="C1482" s="5">
        <v>85.1</v>
      </c>
      <c r="D1482" s="5">
        <v>87.1</v>
      </c>
      <c r="E1482" s="5">
        <v>86.3</v>
      </c>
    </row>
    <row r="1483" spans="1:5">
      <c r="A1483" s="4" t="str">
        <f>"20228020813"</f>
        <v>20228020813</v>
      </c>
      <c r="B1483" s="4" t="str">
        <f t="shared" si="23"/>
        <v>20220305</v>
      </c>
      <c r="C1483" s="5">
        <v>94.2</v>
      </c>
      <c r="D1483" s="5">
        <v>104</v>
      </c>
      <c r="E1483" s="5">
        <v>100.08</v>
      </c>
    </row>
    <row r="1484" spans="1:5">
      <c r="A1484" s="4" t="str">
        <f>"20228020814"</f>
        <v>20228020814</v>
      </c>
      <c r="B1484" s="4" t="str">
        <f t="shared" si="23"/>
        <v>20220305</v>
      </c>
      <c r="C1484" s="5">
        <v>82.8</v>
      </c>
      <c r="D1484" s="5">
        <v>93.9</v>
      </c>
      <c r="E1484" s="5">
        <v>89.46</v>
      </c>
    </row>
    <row r="1485" spans="1:5">
      <c r="A1485" s="4" t="str">
        <f>"20228020815"</f>
        <v>20228020815</v>
      </c>
      <c r="B1485" s="4" t="str">
        <f t="shared" si="23"/>
        <v>20220305</v>
      </c>
      <c r="C1485" s="5">
        <v>0</v>
      </c>
      <c r="D1485" s="5">
        <v>0</v>
      </c>
      <c r="E1485" s="5">
        <v>0</v>
      </c>
    </row>
    <row r="1486" spans="1:5">
      <c r="A1486" s="4" t="str">
        <f>"20228020816"</f>
        <v>20228020816</v>
      </c>
      <c r="B1486" s="4" t="str">
        <f t="shared" si="23"/>
        <v>20220305</v>
      </c>
      <c r="C1486" s="5">
        <v>87</v>
      </c>
      <c r="D1486" s="5">
        <v>90.3</v>
      </c>
      <c r="E1486" s="5">
        <v>88.98</v>
      </c>
    </row>
    <row r="1487" spans="1:5">
      <c r="A1487" s="4" t="str">
        <f>"20228020817"</f>
        <v>20228020817</v>
      </c>
      <c r="B1487" s="4" t="str">
        <f t="shared" si="23"/>
        <v>20220305</v>
      </c>
      <c r="C1487" s="5">
        <v>0</v>
      </c>
      <c r="D1487" s="5">
        <v>0</v>
      </c>
      <c r="E1487" s="5">
        <v>0</v>
      </c>
    </row>
    <row r="1488" spans="1:5">
      <c r="A1488" s="4" t="str">
        <f>"20228020818"</f>
        <v>20228020818</v>
      </c>
      <c r="B1488" s="4" t="str">
        <f t="shared" si="23"/>
        <v>20220305</v>
      </c>
      <c r="C1488" s="5">
        <v>0</v>
      </c>
      <c r="D1488" s="5">
        <v>0</v>
      </c>
      <c r="E1488" s="5">
        <v>0</v>
      </c>
    </row>
    <row r="1489" spans="1:5">
      <c r="A1489" s="4" t="str">
        <f>"20228020819"</f>
        <v>20228020819</v>
      </c>
      <c r="B1489" s="4" t="str">
        <f t="shared" si="23"/>
        <v>20220305</v>
      </c>
      <c r="C1489" s="5">
        <v>0</v>
      </c>
      <c r="D1489" s="5">
        <v>0</v>
      </c>
      <c r="E1489" s="5">
        <v>0</v>
      </c>
    </row>
    <row r="1490" spans="1:5">
      <c r="A1490" s="4" t="str">
        <f>"20228020820"</f>
        <v>20228020820</v>
      </c>
      <c r="B1490" s="4" t="str">
        <f t="shared" si="23"/>
        <v>20220305</v>
      </c>
      <c r="C1490" s="5">
        <v>75.3</v>
      </c>
      <c r="D1490" s="5">
        <v>88.4</v>
      </c>
      <c r="E1490" s="5">
        <v>83.16</v>
      </c>
    </row>
    <row r="1491" spans="1:5">
      <c r="A1491" s="4" t="str">
        <f>"20228020821"</f>
        <v>20228020821</v>
      </c>
      <c r="B1491" s="4" t="str">
        <f t="shared" si="23"/>
        <v>20220305</v>
      </c>
      <c r="C1491" s="5">
        <v>78.4</v>
      </c>
      <c r="D1491" s="5">
        <v>92.2</v>
      </c>
      <c r="E1491" s="5">
        <v>86.68</v>
      </c>
    </row>
    <row r="1492" spans="1:5">
      <c r="A1492" s="4" t="str">
        <f>"20228020822"</f>
        <v>20228020822</v>
      </c>
      <c r="B1492" s="4" t="str">
        <f t="shared" si="23"/>
        <v>20220305</v>
      </c>
      <c r="C1492" s="5">
        <v>0</v>
      </c>
      <c r="D1492" s="5">
        <v>0</v>
      </c>
      <c r="E1492" s="5">
        <v>0</v>
      </c>
    </row>
    <row r="1493" spans="1:5">
      <c r="A1493" s="4" t="str">
        <f>"20228020823"</f>
        <v>20228020823</v>
      </c>
      <c r="B1493" s="4" t="str">
        <f t="shared" si="23"/>
        <v>20220305</v>
      </c>
      <c r="C1493" s="5">
        <v>0</v>
      </c>
      <c r="D1493" s="5">
        <v>0</v>
      </c>
      <c r="E1493" s="5">
        <v>0</v>
      </c>
    </row>
    <row r="1494" spans="1:5">
      <c r="A1494" s="4" t="str">
        <f>"20228020824"</f>
        <v>20228020824</v>
      </c>
      <c r="B1494" s="4" t="str">
        <f t="shared" si="23"/>
        <v>20220305</v>
      </c>
      <c r="C1494" s="5">
        <v>0</v>
      </c>
      <c r="D1494" s="5">
        <v>0</v>
      </c>
      <c r="E1494" s="5">
        <v>0</v>
      </c>
    </row>
    <row r="1495" spans="1:5">
      <c r="A1495" s="4" t="str">
        <f>"20228020825"</f>
        <v>20228020825</v>
      </c>
      <c r="B1495" s="4" t="str">
        <f t="shared" si="23"/>
        <v>20220305</v>
      </c>
      <c r="C1495" s="5">
        <v>73.2</v>
      </c>
      <c r="D1495" s="5">
        <v>74.6</v>
      </c>
      <c r="E1495" s="5">
        <v>74.04</v>
      </c>
    </row>
    <row r="1496" spans="1:5">
      <c r="A1496" s="4" t="str">
        <f>"20228020826"</f>
        <v>20228020826</v>
      </c>
      <c r="B1496" s="4" t="str">
        <f t="shared" si="23"/>
        <v>20220305</v>
      </c>
      <c r="C1496" s="5">
        <v>96.2</v>
      </c>
      <c r="D1496" s="5">
        <v>103.7</v>
      </c>
      <c r="E1496" s="5">
        <v>100.7</v>
      </c>
    </row>
    <row r="1497" spans="1:5">
      <c r="A1497" s="4" t="str">
        <f>"20228020827"</f>
        <v>20228020827</v>
      </c>
      <c r="B1497" s="4" t="str">
        <f t="shared" si="23"/>
        <v>20220305</v>
      </c>
      <c r="C1497" s="5">
        <v>0</v>
      </c>
      <c r="D1497" s="5">
        <v>0</v>
      </c>
      <c r="E1497" s="5">
        <v>0</v>
      </c>
    </row>
    <row r="1498" spans="1:5">
      <c r="A1498" s="4" t="str">
        <f>"20228020828"</f>
        <v>20228020828</v>
      </c>
      <c r="B1498" s="4" t="str">
        <f t="shared" si="23"/>
        <v>20220305</v>
      </c>
      <c r="C1498" s="5">
        <v>0</v>
      </c>
      <c r="D1498" s="5">
        <v>0</v>
      </c>
      <c r="E1498" s="5">
        <v>0</v>
      </c>
    </row>
    <row r="1499" spans="1:5">
      <c r="A1499" s="4" t="str">
        <f>"20228020829"</f>
        <v>20228020829</v>
      </c>
      <c r="B1499" s="4" t="str">
        <f t="shared" si="23"/>
        <v>20220305</v>
      </c>
      <c r="C1499" s="5">
        <v>0</v>
      </c>
      <c r="D1499" s="5">
        <v>0</v>
      </c>
      <c r="E1499" s="5">
        <v>0</v>
      </c>
    </row>
    <row r="1500" spans="1:5">
      <c r="A1500" s="4" t="str">
        <f>"20228020830"</f>
        <v>20228020830</v>
      </c>
      <c r="B1500" s="4" t="str">
        <f t="shared" si="23"/>
        <v>20220305</v>
      </c>
      <c r="C1500" s="5">
        <v>82.1</v>
      </c>
      <c r="D1500" s="5">
        <v>97</v>
      </c>
      <c r="E1500" s="5">
        <v>91.04</v>
      </c>
    </row>
    <row r="1501" spans="1:5">
      <c r="A1501" s="4" t="str">
        <f>"20228020901"</f>
        <v>20228020901</v>
      </c>
      <c r="B1501" s="4" t="str">
        <f t="shared" si="23"/>
        <v>20220305</v>
      </c>
      <c r="C1501" s="5">
        <v>78.8</v>
      </c>
      <c r="D1501" s="5">
        <v>90.1</v>
      </c>
      <c r="E1501" s="5">
        <v>85.58</v>
      </c>
    </row>
    <row r="1502" spans="1:5">
      <c r="A1502" s="4" t="str">
        <f>"20228020902"</f>
        <v>20228020902</v>
      </c>
      <c r="B1502" s="4" t="str">
        <f t="shared" si="23"/>
        <v>20220305</v>
      </c>
      <c r="C1502" s="5">
        <v>0</v>
      </c>
      <c r="D1502" s="5">
        <v>65.9</v>
      </c>
      <c r="E1502" s="5">
        <v>39.54</v>
      </c>
    </row>
    <row r="1503" spans="1:5">
      <c r="A1503" s="4" t="str">
        <f>"20228020903"</f>
        <v>20228020903</v>
      </c>
      <c r="B1503" s="4" t="str">
        <f t="shared" si="23"/>
        <v>20220305</v>
      </c>
      <c r="C1503" s="5">
        <v>0</v>
      </c>
      <c r="D1503" s="5">
        <v>0</v>
      </c>
      <c r="E1503" s="5">
        <v>0</v>
      </c>
    </row>
    <row r="1504" spans="1:5">
      <c r="A1504" s="4" t="str">
        <f>"20228020904"</f>
        <v>20228020904</v>
      </c>
      <c r="B1504" s="4" t="str">
        <f t="shared" si="23"/>
        <v>20220305</v>
      </c>
      <c r="C1504" s="5">
        <v>0</v>
      </c>
      <c r="D1504" s="5">
        <v>0</v>
      </c>
      <c r="E1504" s="5">
        <v>0</v>
      </c>
    </row>
    <row r="1505" spans="1:5">
      <c r="A1505" s="4" t="str">
        <f>"20228020905"</f>
        <v>20228020905</v>
      </c>
      <c r="B1505" s="4" t="str">
        <f t="shared" ref="B1505:B1520" si="24">"20220305"</f>
        <v>20220305</v>
      </c>
      <c r="C1505" s="5">
        <v>0</v>
      </c>
      <c r="D1505" s="5">
        <v>0</v>
      </c>
      <c r="E1505" s="5">
        <v>0</v>
      </c>
    </row>
    <row r="1506" spans="1:5">
      <c r="A1506" s="4" t="str">
        <f>"20228020906"</f>
        <v>20228020906</v>
      </c>
      <c r="B1506" s="4" t="str">
        <f t="shared" si="24"/>
        <v>20220305</v>
      </c>
      <c r="C1506" s="5">
        <v>97.3</v>
      </c>
      <c r="D1506" s="5">
        <v>97.8</v>
      </c>
      <c r="E1506" s="5">
        <v>97.6</v>
      </c>
    </row>
    <row r="1507" spans="1:5">
      <c r="A1507" s="4" t="str">
        <f>"20228020907"</f>
        <v>20228020907</v>
      </c>
      <c r="B1507" s="4" t="str">
        <f t="shared" si="24"/>
        <v>20220305</v>
      </c>
      <c r="C1507" s="5">
        <v>86.7</v>
      </c>
      <c r="D1507" s="5">
        <v>98.1</v>
      </c>
      <c r="E1507" s="5">
        <v>93.54</v>
      </c>
    </row>
    <row r="1508" spans="1:5">
      <c r="A1508" s="4" t="str">
        <f>"20228020908"</f>
        <v>20228020908</v>
      </c>
      <c r="B1508" s="4" t="str">
        <f t="shared" si="24"/>
        <v>20220305</v>
      </c>
      <c r="C1508" s="5">
        <v>0</v>
      </c>
      <c r="D1508" s="5">
        <v>0</v>
      </c>
      <c r="E1508" s="5">
        <v>0</v>
      </c>
    </row>
    <row r="1509" spans="1:5">
      <c r="A1509" s="4" t="str">
        <f>"20228020909"</f>
        <v>20228020909</v>
      </c>
      <c r="B1509" s="4" t="str">
        <f t="shared" si="24"/>
        <v>20220305</v>
      </c>
      <c r="C1509" s="5">
        <v>0</v>
      </c>
      <c r="D1509" s="5">
        <v>0</v>
      </c>
      <c r="E1509" s="5">
        <v>0</v>
      </c>
    </row>
    <row r="1510" spans="1:5">
      <c r="A1510" s="4" t="str">
        <f>"20228020910"</f>
        <v>20228020910</v>
      </c>
      <c r="B1510" s="4" t="str">
        <f t="shared" si="24"/>
        <v>20220305</v>
      </c>
      <c r="C1510" s="5">
        <v>91.3</v>
      </c>
      <c r="D1510" s="5">
        <v>100.5</v>
      </c>
      <c r="E1510" s="5">
        <v>96.82</v>
      </c>
    </row>
    <row r="1511" spans="1:5">
      <c r="A1511" s="4" t="str">
        <f>"20228020911"</f>
        <v>20228020911</v>
      </c>
      <c r="B1511" s="4" t="str">
        <f t="shared" si="24"/>
        <v>20220305</v>
      </c>
      <c r="C1511" s="5">
        <v>0</v>
      </c>
      <c r="D1511" s="5">
        <v>0</v>
      </c>
      <c r="E1511" s="5">
        <v>0</v>
      </c>
    </row>
    <row r="1512" spans="1:5">
      <c r="A1512" s="4" t="str">
        <f>"20228020912"</f>
        <v>20228020912</v>
      </c>
      <c r="B1512" s="4" t="str">
        <f t="shared" si="24"/>
        <v>20220305</v>
      </c>
      <c r="C1512" s="5">
        <v>0</v>
      </c>
      <c r="D1512" s="5">
        <v>0</v>
      </c>
      <c r="E1512" s="5">
        <v>0</v>
      </c>
    </row>
    <row r="1513" spans="1:5">
      <c r="A1513" s="4" t="str">
        <f>"20228020913"</f>
        <v>20228020913</v>
      </c>
      <c r="B1513" s="4" t="str">
        <f t="shared" si="24"/>
        <v>20220305</v>
      </c>
      <c r="C1513" s="5">
        <v>0</v>
      </c>
      <c r="D1513" s="5">
        <v>0</v>
      </c>
      <c r="E1513" s="5">
        <v>0</v>
      </c>
    </row>
    <row r="1514" spans="1:5">
      <c r="A1514" s="4" t="str">
        <f>"20228020914"</f>
        <v>20228020914</v>
      </c>
      <c r="B1514" s="4" t="str">
        <f t="shared" si="24"/>
        <v>20220305</v>
      </c>
      <c r="C1514" s="5">
        <v>88.9</v>
      </c>
      <c r="D1514" s="5">
        <v>100.7</v>
      </c>
      <c r="E1514" s="5">
        <v>95.98</v>
      </c>
    </row>
    <row r="1515" spans="1:5">
      <c r="A1515" s="4" t="str">
        <f>"20228020915"</f>
        <v>20228020915</v>
      </c>
      <c r="B1515" s="4" t="str">
        <f t="shared" si="24"/>
        <v>20220305</v>
      </c>
      <c r="C1515" s="5">
        <v>78.4</v>
      </c>
      <c r="D1515" s="5">
        <v>100.1</v>
      </c>
      <c r="E1515" s="5">
        <v>91.42</v>
      </c>
    </row>
    <row r="1516" spans="1:5">
      <c r="A1516" s="4" t="str">
        <f>"20228020916"</f>
        <v>20228020916</v>
      </c>
      <c r="B1516" s="4" t="str">
        <f t="shared" si="24"/>
        <v>20220305</v>
      </c>
      <c r="C1516" s="5">
        <v>89.2</v>
      </c>
      <c r="D1516" s="5">
        <v>90.6</v>
      </c>
      <c r="E1516" s="5">
        <v>90.04</v>
      </c>
    </row>
    <row r="1517" spans="1:5">
      <c r="A1517" s="4" t="str">
        <f>"20228020917"</f>
        <v>20228020917</v>
      </c>
      <c r="B1517" s="4" t="str">
        <f t="shared" si="24"/>
        <v>20220305</v>
      </c>
      <c r="C1517" s="5">
        <v>26.2</v>
      </c>
      <c r="D1517" s="5">
        <v>77.6</v>
      </c>
      <c r="E1517" s="5">
        <v>57.04</v>
      </c>
    </row>
    <row r="1518" spans="1:5">
      <c r="A1518" s="4" t="str">
        <f>"20228020918"</f>
        <v>20228020918</v>
      </c>
      <c r="B1518" s="4" t="str">
        <f t="shared" si="24"/>
        <v>20220305</v>
      </c>
      <c r="C1518" s="5">
        <v>89.5</v>
      </c>
      <c r="D1518" s="5">
        <v>98.1</v>
      </c>
      <c r="E1518" s="5">
        <v>94.66</v>
      </c>
    </row>
    <row r="1519" spans="1:5">
      <c r="A1519" s="4" t="str">
        <f>"20228020919"</f>
        <v>20228020919</v>
      </c>
      <c r="B1519" s="4" t="str">
        <f t="shared" si="24"/>
        <v>20220305</v>
      </c>
      <c r="C1519" s="5">
        <v>0</v>
      </c>
      <c r="D1519" s="5">
        <v>0</v>
      </c>
      <c r="E1519" s="5">
        <v>0</v>
      </c>
    </row>
    <row r="1520" spans="1:5">
      <c r="A1520" s="4" t="str">
        <f>"20228020920"</f>
        <v>20228020920</v>
      </c>
      <c r="B1520" s="4" t="str">
        <f t="shared" si="24"/>
        <v>20220305</v>
      </c>
      <c r="C1520" s="5">
        <v>0</v>
      </c>
      <c r="D1520" s="5">
        <v>0</v>
      </c>
      <c r="E1520" s="5">
        <v>0</v>
      </c>
    </row>
    <row r="1521" spans="1:5">
      <c r="A1521" s="4" t="str">
        <f>"20228020921"</f>
        <v>20228020921</v>
      </c>
      <c r="B1521" s="4" t="str">
        <f t="shared" ref="B1521:B1584" si="25">"20220306"</f>
        <v>20220306</v>
      </c>
      <c r="C1521" s="5">
        <v>81.5</v>
      </c>
      <c r="D1521" s="5">
        <v>91.9</v>
      </c>
      <c r="E1521" s="5">
        <v>87.74</v>
      </c>
    </row>
    <row r="1522" spans="1:5">
      <c r="A1522" s="4" t="str">
        <f>"20228020922"</f>
        <v>20228020922</v>
      </c>
      <c r="B1522" s="4" t="str">
        <f t="shared" si="25"/>
        <v>20220306</v>
      </c>
      <c r="C1522" s="5">
        <v>85.3</v>
      </c>
      <c r="D1522" s="5">
        <v>99.1</v>
      </c>
      <c r="E1522" s="5">
        <v>93.58</v>
      </c>
    </row>
    <row r="1523" spans="1:5">
      <c r="A1523" s="4" t="str">
        <f>"20228020923"</f>
        <v>20228020923</v>
      </c>
      <c r="B1523" s="4" t="str">
        <f t="shared" si="25"/>
        <v>20220306</v>
      </c>
      <c r="C1523" s="5">
        <v>0</v>
      </c>
      <c r="D1523" s="5">
        <v>0</v>
      </c>
      <c r="E1523" s="5">
        <v>0</v>
      </c>
    </row>
    <row r="1524" spans="1:5">
      <c r="A1524" s="4" t="str">
        <f>"20228020924"</f>
        <v>20228020924</v>
      </c>
      <c r="B1524" s="4" t="str">
        <f t="shared" si="25"/>
        <v>20220306</v>
      </c>
      <c r="C1524" s="5">
        <v>0</v>
      </c>
      <c r="D1524" s="5">
        <v>0</v>
      </c>
      <c r="E1524" s="5">
        <v>0</v>
      </c>
    </row>
    <row r="1525" spans="1:5">
      <c r="A1525" s="4" t="str">
        <f>"20228020925"</f>
        <v>20228020925</v>
      </c>
      <c r="B1525" s="4" t="str">
        <f t="shared" si="25"/>
        <v>20220306</v>
      </c>
      <c r="C1525" s="5">
        <v>64.7</v>
      </c>
      <c r="D1525" s="5">
        <v>81.2</v>
      </c>
      <c r="E1525" s="5">
        <v>74.6</v>
      </c>
    </row>
    <row r="1526" spans="1:5">
      <c r="A1526" s="4" t="str">
        <f>"20228020926"</f>
        <v>20228020926</v>
      </c>
      <c r="B1526" s="4" t="str">
        <f t="shared" si="25"/>
        <v>20220306</v>
      </c>
      <c r="C1526" s="5">
        <v>99.2</v>
      </c>
      <c r="D1526" s="5">
        <v>93.1</v>
      </c>
      <c r="E1526" s="5">
        <v>95.54</v>
      </c>
    </row>
    <row r="1527" spans="1:5">
      <c r="A1527" s="4" t="str">
        <f>"20228020927"</f>
        <v>20228020927</v>
      </c>
      <c r="B1527" s="4" t="str">
        <f t="shared" si="25"/>
        <v>20220306</v>
      </c>
      <c r="C1527" s="5">
        <v>73.4</v>
      </c>
      <c r="D1527" s="5">
        <v>82.7</v>
      </c>
      <c r="E1527" s="5">
        <v>78.98</v>
      </c>
    </row>
    <row r="1528" spans="1:5">
      <c r="A1528" s="4" t="str">
        <f>"20228020928"</f>
        <v>20228020928</v>
      </c>
      <c r="B1528" s="4" t="str">
        <f t="shared" si="25"/>
        <v>20220306</v>
      </c>
      <c r="C1528" s="5">
        <v>91</v>
      </c>
      <c r="D1528" s="5">
        <v>87.2</v>
      </c>
      <c r="E1528" s="5">
        <v>88.72</v>
      </c>
    </row>
    <row r="1529" spans="1:5">
      <c r="A1529" s="4" t="str">
        <f>"20228020929"</f>
        <v>20228020929</v>
      </c>
      <c r="B1529" s="4" t="str">
        <f t="shared" si="25"/>
        <v>20220306</v>
      </c>
      <c r="C1529" s="5">
        <v>88.8</v>
      </c>
      <c r="D1529" s="5">
        <v>89.9</v>
      </c>
      <c r="E1529" s="5">
        <v>89.46</v>
      </c>
    </row>
    <row r="1530" spans="1:5">
      <c r="A1530" s="4" t="str">
        <f>"20228020930"</f>
        <v>20228020930</v>
      </c>
      <c r="B1530" s="4" t="str">
        <f t="shared" si="25"/>
        <v>20220306</v>
      </c>
      <c r="C1530" s="5">
        <v>64.6</v>
      </c>
      <c r="D1530" s="5">
        <v>87.8</v>
      </c>
      <c r="E1530" s="5">
        <v>78.52</v>
      </c>
    </row>
    <row r="1531" spans="1:5">
      <c r="A1531" s="4" t="str">
        <f>"20228021001"</f>
        <v>20228021001</v>
      </c>
      <c r="B1531" s="4" t="str">
        <f t="shared" si="25"/>
        <v>20220306</v>
      </c>
      <c r="C1531" s="5">
        <v>99.8</v>
      </c>
      <c r="D1531" s="5">
        <v>101.7</v>
      </c>
      <c r="E1531" s="5">
        <v>100.94</v>
      </c>
    </row>
    <row r="1532" spans="1:5">
      <c r="A1532" s="4" t="str">
        <f>"20228021002"</f>
        <v>20228021002</v>
      </c>
      <c r="B1532" s="4" t="str">
        <f t="shared" si="25"/>
        <v>20220306</v>
      </c>
      <c r="C1532" s="5">
        <v>0</v>
      </c>
      <c r="D1532" s="5">
        <v>0</v>
      </c>
      <c r="E1532" s="5">
        <v>0</v>
      </c>
    </row>
    <row r="1533" spans="1:5">
      <c r="A1533" s="4" t="str">
        <f>"20228021003"</f>
        <v>20228021003</v>
      </c>
      <c r="B1533" s="4" t="str">
        <f t="shared" si="25"/>
        <v>20220306</v>
      </c>
      <c r="C1533" s="5">
        <v>81.3</v>
      </c>
      <c r="D1533" s="5">
        <v>92</v>
      </c>
      <c r="E1533" s="5">
        <v>87.72</v>
      </c>
    </row>
    <row r="1534" spans="1:5">
      <c r="A1534" s="4" t="str">
        <f>"20228021004"</f>
        <v>20228021004</v>
      </c>
      <c r="B1534" s="4" t="str">
        <f t="shared" si="25"/>
        <v>20220306</v>
      </c>
      <c r="C1534" s="5">
        <v>71.2</v>
      </c>
      <c r="D1534" s="5">
        <v>78.6</v>
      </c>
      <c r="E1534" s="5">
        <v>75.64</v>
      </c>
    </row>
    <row r="1535" spans="1:5">
      <c r="A1535" s="4" t="str">
        <f>"20228021005"</f>
        <v>20228021005</v>
      </c>
      <c r="B1535" s="4" t="str">
        <f t="shared" si="25"/>
        <v>20220306</v>
      </c>
      <c r="C1535" s="5">
        <v>0</v>
      </c>
      <c r="D1535" s="5">
        <v>0</v>
      </c>
      <c r="E1535" s="5">
        <v>0</v>
      </c>
    </row>
    <row r="1536" spans="1:5">
      <c r="A1536" s="4" t="str">
        <f>"20228021006"</f>
        <v>20228021006</v>
      </c>
      <c r="B1536" s="4" t="str">
        <f t="shared" si="25"/>
        <v>20220306</v>
      </c>
      <c r="C1536" s="5">
        <v>88.9</v>
      </c>
      <c r="D1536" s="5">
        <v>95.2</v>
      </c>
      <c r="E1536" s="5">
        <v>92.68</v>
      </c>
    </row>
    <row r="1537" spans="1:5">
      <c r="A1537" s="4" t="str">
        <f>"20228021007"</f>
        <v>20228021007</v>
      </c>
      <c r="B1537" s="4" t="str">
        <f t="shared" si="25"/>
        <v>20220306</v>
      </c>
      <c r="C1537" s="5">
        <v>0</v>
      </c>
      <c r="D1537" s="5">
        <v>0</v>
      </c>
      <c r="E1537" s="5">
        <v>0</v>
      </c>
    </row>
    <row r="1538" spans="1:5">
      <c r="A1538" s="4" t="str">
        <f>"20228021008"</f>
        <v>20228021008</v>
      </c>
      <c r="B1538" s="4" t="str">
        <f t="shared" si="25"/>
        <v>20220306</v>
      </c>
      <c r="C1538" s="5">
        <v>0</v>
      </c>
      <c r="D1538" s="5">
        <v>0</v>
      </c>
      <c r="E1538" s="5">
        <v>0</v>
      </c>
    </row>
    <row r="1539" spans="1:5">
      <c r="A1539" s="4" t="str">
        <f>"20228021009"</f>
        <v>20228021009</v>
      </c>
      <c r="B1539" s="4" t="str">
        <f t="shared" si="25"/>
        <v>20220306</v>
      </c>
      <c r="C1539" s="5">
        <v>94.2</v>
      </c>
      <c r="D1539" s="5">
        <v>91</v>
      </c>
      <c r="E1539" s="5">
        <v>92.28</v>
      </c>
    </row>
    <row r="1540" spans="1:5">
      <c r="A1540" s="4" t="str">
        <f>"20228021010"</f>
        <v>20228021010</v>
      </c>
      <c r="B1540" s="4" t="str">
        <f t="shared" si="25"/>
        <v>20220306</v>
      </c>
      <c r="C1540" s="5">
        <v>78.8</v>
      </c>
      <c r="D1540" s="5">
        <v>80.5</v>
      </c>
      <c r="E1540" s="5">
        <v>79.82</v>
      </c>
    </row>
    <row r="1541" spans="1:5">
      <c r="A1541" s="4" t="str">
        <f>"20228021011"</f>
        <v>20228021011</v>
      </c>
      <c r="B1541" s="4" t="str">
        <f t="shared" si="25"/>
        <v>20220306</v>
      </c>
      <c r="C1541" s="5">
        <v>0</v>
      </c>
      <c r="D1541" s="5">
        <v>0</v>
      </c>
      <c r="E1541" s="5">
        <v>0</v>
      </c>
    </row>
    <row r="1542" spans="1:5">
      <c r="A1542" s="4" t="str">
        <f>"20228021012"</f>
        <v>20228021012</v>
      </c>
      <c r="B1542" s="4" t="str">
        <f t="shared" si="25"/>
        <v>20220306</v>
      </c>
      <c r="C1542" s="5">
        <v>80.9</v>
      </c>
      <c r="D1542" s="5">
        <v>83.4</v>
      </c>
      <c r="E1542" s="5">
        <v>82.4</v>
      </c>
    </row>
    <row r="1543" spans="1:5">
      <c r="A1543" s="4" t="str">
        <f>"20228021013"</f>
        <v>20228021013</v>
      </c>
      <c r="B1543" s="4" t="str">
        <f t="shared" si="25"/>
        <v>20220306</v>
      </c>
      <c r="C1543" s="5">
        <v>85</v>
      </c>
      <c r="D1543" s="5">
        <v>88</v>
      </c>
      <c r="E1543" s="5">
        <v>86.8</v>
      </c>
    </row>
    <row r="1544" spans="1:5">
      <c r="A1544" s="4" t="str">
        <f>"20228021014"</f>
        <v>20228021014</v>
      </c>
      <c r="B1544" s="4" t="str">
        <f t="shared" si="25"/>
        <v>20220306</v>
      </c>
      <c r="C1544" s="5">
        <v>86.8</v>
      </c>
      <c r="D1544" s="5">
        <v>79.9</v>
      </c>
      <c r="E1544" s="5">
        <v>82.66</v>
      </c>
    </row>
    <row r="1545" spans="1:5">
      <c r="A1545" s="4" t="str">
        <f>"20228021015"</f>
        <v>20228021015</v>
      </c>
      <c r="B1545" s="4" t="str">
        <f t="shared" si="25"/>
        <v>20220306</v>
      </c>
      <c r="C1545" s="5">
        <v>77.3</v>
      </c>
      <c r="D1545" s="5">
        <v>93.3</v>
      </c>
      <c r="E1545" s="5">
        <v>86.9</v>
      </c>
    </row>
    <row r="1546" spans="1:5">
      <c r="A1546" s="4" t="str">
        <f>"20228021016"</f>
        <v>20228021016</v>
      </c>
      <c r="B1546" s="4" t="str">
        <f t="shared" si="25"/>
        <v>20220306</v>
      </c>
      <c r="C1546" s="5">
        <v>0</v>
      </c>
      <c r="D1546" s="5">
        <v>0</v>
      </c>
      <c r="E1546" s="5">
        <v>0</v>
      </c>
    </row>
    <row r="1547" spans="1:5">
      <c r="A1547" s="4" t="str">
        <f>"20228021017"</f>
        <v>20228021017</v>
      </c>
      <c r="B1547" s="4" t="str">
        <f t="shared" si="25"/>
        <v>20220306</v>
      </c>
      <c r="C1547" s="5">
        <v>83</v>
      </c>
      <c r="D1547" s="5">
        <v>83.1</v>
      </c>
      <c r="E1547" s="5">
        <v>83.06</v>
      </c>
    </row>
    <row r="1548" spans="1:5">
      <c r="A1548" s="4" t="str">
        <f>"20228021018"</f>
        <v>20228021018</v>
      </c>
      <c r="B1548" s="4" t="str">
        <f t="shared" si="25"/>
        <v>20220306</v>
      </c>
      <c r="C1548" s="5">
        <v>72.7</v>
      </c>
      <c r="D1548" s="5">
        <v>82</v>
      </c>
      <c r="E1548" s="5">
        <v>78.28</v>
      </c>
    </row>
    <row r="1549" spans="1:5">
      <c r="A1549" s="4" t="str">
        <f>"20228021019"</f>
        <v>20228021019</v>
      </c>
      <c r="B1549" s="4" t="str">
        <f t="shared" si="25"/>
        <v>20220306</v>
      </c>
      <c r="C1549" s="5">
        <v>0</v>
      </c>
      <c r="D1549" s="5">
        <v>0</v>
      </c>
      <c r="E1549" s="5">
        <v>0</v>
      </c>
    </row>
    <row r="1550" spans="1:5">
      <c r="A1550" s="4" t="str">
        <f>"20228021020"</f>
        <v>20228021020</v>
      </c>
      <c r="B1550" s="4" t="str">
        <f t="shared" si="25"/>
        <v>20220306</v>
      </c>
      <c r="C1550" s="5">
        <v>89</v>
      </c>
      <c r="D1550" s="5">
        <v>92</v>
      </c>
      <c r="E1550" s="5">
        <v>90.8</v>
      </c>
    </row>
    <row r="1551" spans="1:5">
      <c r="A1551" s="4" t="str">
        <f>"20228021021"</f>
        <v>20228021021</v>
      </c>
      <c r="B1551" s="4" t="str">
        <f t="shared" si="25"/>
        <v>20220306</v>
      </c>
      <c r="C1551" s="5">
        <v>81.5</v>
      </c>
      <c r="D1551" s="5">
        <v>90.5</v>
      </c>
      <c r="E1551" s="5">
        <v>86.9</v>
      </c>
    </row>
    <row r="1552" spans="1:5">
      <c r="A1552" s="4" t="str">
        <f>"20228021022"</f>
        <v>20228021022</v>
      </c>
      <c r="B1552" s="4" t="str">
        <f t="shared" si="25"/>
        <v>20220306</v>
      </c>
      <c r="C1552" s="5">
        <v>75.9</v>
      </c>
      <c r="D1552" s="5">
        <v>85.6</v>
      </c>
      <c r="E1552" s="5">
        <v>81.72</v>
      </c>
    </row>
    <row r="1553" spans="1:5">
      <c r="A1553" s="4" t="str">
        <f>"20228021023"</f>
        <v>20228021023</v>
      </c>
      <c r="B1553" s="4" t="str">
        <f t="shared" si="25"/>
        <v>20220306</v>
      </c>
      <c r="C1553" s="5">
        <v>78.6</v>
      </c>
      <c r="D1553" s="5">
        <v>87</v>
      </c>
      <c r="E1553" s="5">
        <v>83.64</v>
      </c>
    </row>
    <row r="1554" spans="1:5">
      <c r="A1554" s="4" t="str">
        <f>"20228021024"</f>
        <v>20228021024</v>
      </c>
      <c r="B1554" s="4" t="str">
        <f t="shared" si="25"/>
        <v>20220306</v>
      </c>
      <c r="C1554" s="5">
        <v>68.2</v>
      </c>
      <c r="D1554" s="5">
        <v>71.9</v>
      </c>
      <c r="E1554" s="5">
        <v>70.42</v>
      </c>
    </row>
    <row r="1555" spans="1:5">
      <c r="A1555" s="4" t="str">
        <f>"20228021025"</f>
        <v>20228021025</v>
      </c>
      <c r="B1555" s="4" t="str">
        <f t="shared" si="25"/>
        <v>20220306</v>
      </c>
      <c r="C1555" s="5">
        <v>90.9</v>
      </c>
      <c r="D1555" s="5">
        <v>91.4</v>
      </c>
      <c r="E1555" s="5">
        <v>91.2</v>
      </c>
    </row>
    <row r="1556" spans="1:5">
      <c r="A1556" s="4" t="str">
        <f>"20228021026"</f>
        <v>20228021026</v>
      </c>
      <c r="B1556" s="4" t="str">
        <f t="shared" si="25"/>
        <v>20220306</v>
      </c>
      <c r="C1556" s="5">
        <v>0</v>
      </c>
      <c r="D1556" s="5">
        <v>0</v>
      </c>
      <c r="E1556" s="5">
        <v>0</v>
      </c>
    </row>
    <row r="1557" spans="1:5">
      <c r="A1557" s="4" t="str">
        <f>"20228021027"</f>
        <v>20228021027</v>
      </c>
      <c r="B1557" s="4" t="str">
        <f t="shared" si="25"/>
        <v>20220306</v>
      </c>
      <c r="C1557" s="5">
        <v>91.8</v>
      </c>
      <c r="D1557" s="5">
        <v>100.2</v>
      </c>
      <c r="E1557" s="5">
        <v>96.84</v>
      </c>
    </row>
    <row r="1558" spans="1:5">
      <c r="A1558" s="4" t="str">
        <f>"20228021028"</f>
        <v>20228021028</v>
      </c>
      <c r="B1558" s="4" t="str">
        <f t="shared" si="25"/>
        <v>20220306</v>
      </c>
      <c r="C1558" s="5">
        <v>0</v>
      </c>
      <c r="D1558" s="5">
        <v>0</v>
      </c>
      <c r="E1558" s="5">
        <v>0</v>
      </c>
    </row>
    <row r="1559" spans="1:5">
      <c r="A1559" s="4" t="str">
        <f>"20228021029"</f>
        <v>20228021029</v>
      </c>
      <c r="B1559" s="4" t="str">
        <f t="shared" si="25"/>
        <v>20220306</v>
      </c>
      <c r="C1559" s="5">
        <v>61.3</v>
      </c>
      <c r="D1559" s="5">
        <v>76.3</v>
      </c>
      <c r="E1559" s="5">
        <v>70.3</v>
      </c>
    </row>
    <row r="1560" spans="1:5">
      <c r="A1560" s="4" t="str">
        <f>"20228021030"</f>
        <v>20228021030</v>
      </c>
      <c r="B1560" s="4" t="str">
        <f t="shared" si="25"/>
        <v>20220306</v>
      </c>
      <c r="C1560" s="5">
        <v>90</v>
      </c>
      <c r="D1560" s="5">
        <v>85.8</v>
      </c>
      <c r="E1560" s="5">
        <v>87.48</v>
      </c>
    </row>
    <row r="1561" spans="1:5">
      <c r="A1561" s="4" t="str">
        <f>"20228021101"</f>
        <v>20228021101</v>
      </c>
      <c r="B1561" s="4" t="str">
        <f t="shared" si="25"/>
        <v>20220306</v>
      </c>
      <c r="C1561" s="5">
        <v>85</v>
      </c>
      <c r="D1561" s="5">
        <v>92.6</v>
      </c>
      <c r="E1561" s="5">
        <v>89.56</v>
      </c>
    </row>
    <row r="1562" spans="1:5">
      <c r="A1562" s="4" t="str">
        <f>"20228021102"</f>
        <v>20228021102</v>
      </c>
      <c r="B1562" s="4" t="str">
        <f t="shared" si="25"/>
        <v>20220306</v>
      </c>
      <c r="C1562" s="5">
        <v>0</v>
      </c>
      <c r="D1562" s="5">
        <v>0</v>
      </c>
      <c r="E1562" s="5">
        <v>0</v>
      </c>
    </row>
    <row r="1563" spans="1:5">
      <c r="A1563" s="4" t="str">
        <f>"20228021103"</f>
        <v>20228021103</v>
      </c>
      <c r="B1563" s="4" t="str">
        <f t="shared" si="25"/>
        <v>20220306</v>
      </c>
      <c r="C1563" s="5">
        <v>95.8</v>
      </c>
      <c r="D1563" s="5">
        <v>94.1</v>
      </c>
      <c r="E1563" s="5">
        <v>94.78</v>
      </c>
    </row>
    <row r="1564" spans="1:5">
      <c r="A1564" s="4" t="str">
        <f>"20228021104"</f>
        <v>20228021104</v>
      </c>
      <c r="B1564" s="4" t="str">
        <f t="shared" si="25"/>
        <v>20220306</v>
      </c>
      <c r="C1564" s="5">
        <v>57.5</v>
      </c>
      <c r="D1564" s="5">
        <v>62.5</v>
      </c>
      <c r="E1564" s="5">
        <v>60.5</v>
      </c>
    </row>
    <row r="1565" spans="1:5">
      <c r="A1565" s="4" t="str">
        <f>"20228021105"</f>
        <v>20228021105</v>
      </c>
      <c r="B1565" s="4" t="str">
        <f t="shared" si="25"/>
        <v>20220306</v>
      </c>
      <c r="C1565" s="5">
        <v>0</v>
      </c>
      <c r="D1565" s="5">
        <v>0</v>
      </c>
      <c r="E1565" s="5">
        <v>0</v>
      </c>
    </row>
    <row r="1566" spans="1:5">
      <c r="A1566" s="4" t="str">
        <f>"20228021106"</f>
        <v>20228021106</v>
      </c>
      <c r="B1566" s="4" t="str">
        <f t="shared" si="25"/>
        <v>20220306</v>
      </c>
      <c r="C1566" s="5">
        <v>0</v>
      </c>
      <c r="D1566" s="5">
        <v>0</v>
      </c>
      <c r="E1566" s="5">
        <v>0</v>
      </c>
    </row>
    <row r="1567" spans="1:5">
      <c r="A1567" s="4" t="str">
        <f>"20228021107"</f>
        <v>20228021107</v>
      </c>
      <c r="B1567" s="4" t="str">
        <f t="shared" si="25"/>
        <v>20220306</v>
      </c>
      <c r="C1567" s="5">
        <v>0</v>
      </c>
      <c r="D1567" s="5">
        <v>0</v>
      </c>
      <c r="E1567" s="5">
        <v>0</v>
      </c>
    </row>
    <row r="1568" spans="1:5">
      <c r="A1568" s="4" t="str">
        <f>"20228021108"</f>
        <v>20228021108</v>
      </c>
      <c r="B1568" s="4" t="str">
        <f t="shared" si="25"/>
        <v>20220306</v>
      </c>
      <c r="C1568" s="5">
        <v>82.1</v>
      </c>
      <c r="D1568" s="5">
        <v>84.2</v>
      </c>
      <c r="E1568" s="5">
        <v>83.36</v>
      </c>
    </row>
    <row r="1569" spans="1:5">
      <c r="A1569" s="4" t="str">
        <f>"20228021109"</f>
        <v>20228021109</v>
      </c>
      <c r="B1569" s="4" t="str">
        <f t="shared" si="25"/>
        <v>20220306</v>
      </c>
      <c r="C1569" s="5">
        <v>88.4</v>
      </c>
      <c r="D1569" s="5">
        <v>93.4</v>
      </c>
      <c r="E1569" s="5">
        <v>91.4</v>
      </c>
    </row>
    <row r="1570" spans="1:5">
      <c r="A1570" s="4" t="str">
        <f>"20228021110"</f>
        <v>20228021110</v>
      </c>
      <c r="B1570" s="4" t="str">
        <f t="shared" si="25"/>
        <v>20220306</v>
      </c>
      <c r="C1570" s="5">
        <v>0</v>
      </c>
      <c r="D1570" s="5">
        <v>78.7</v>
      </c>
      <c r="E1570" s="5">
        <v>47.22</v>
      </c>
    </row>
    <row r="1571" spans="1:5">
      <c r="A1571" s="4" t="str">
        <f>"20228021111"</f>
        <v>20228021111</v>
      </c>
      <c r="B1571" s="4" t="str">
        <f t="shared" si="25"/>
        <v>20220306</v>
      </c>
      <c r="C1571" s="5">
        <v>80.6</v>
      </c>
      <c r="D1571" s="5">
        <v>95.6</v>
      </c>
      <c r="E1571" s="5">
        <v>89.6</v>
      </c>
    </row>
    <row r="1572" spans="1:5">
      <c r="A1572" s="4" t="str">
        <f>"20228021112"</f>
        <v>20228021112</v>
      </c>
      <c r="B1572" s="4" t="str">
        <f t="shared" si="25"/>
        <v>20220306</v>
      </c>
      <c r="C1572" s="5">
        <v>93</v>
      </c>
      <c r="D1572" s="5">
        <v>90</v>
      </c>
      <c r="E1572" s="5">
        <v>91.2</v>
      </c>
    </row>
    <row r="1573" spans="1:5">
      <c r="A1573" s="4" t="str">
        <f>"20228021113"</f>
        <v>20228021113</v>
      </c>
      <c r="B1573" s="4" t="str">
        <f t="shared" si="25"/>
        <v>20220306</v>
      </c>
      <c r="C1573" s="5">
        <v>75.7</v>
      </c>
      <c r="D1573" s="5">
        <v>91.9</v>
      </c>
      <c r="E1573" s="5">
        <v>85.42</v>
      </c>
    </row>
    <row r="1574" spans="1:5">
      <c r="A1574" s="4" t="str">
        <f>"20228021114"</f>
        <v>20228021114</v>
      </c>
      <c r="B1574" s="4" t="str">
        <f t="shared" si="25"/>
        <v>20220306</v>
      </c>
      <c r="C1574" s="5">
        <v>0</v>
      </c>
      <c r="D1574" s="5">
        <v>0</v>
      </c>
      <c r="E1574" s="5">
        <v>0</v>
      </c>
    </row>
    <row r="1575" spans="1:5">
      <c r="A1575" s="4" t="str">
        <f>"20228021115"</f>
        <v>20228021115</v>
      </c>
      <c r="B1575" s="4" t="str">
        <f t="shared" si="25"/>
        <v>20220306</v>
      </c>
      <c r="C1575" s="5">
        <v>89.3</v>
      </c>
      <c r="D1575" s="5">
        <v>94.5</v>
      </c>
      <c r="E1575" s="5">
        <v>92.42</v>
      </c>
    </row>
    <row r="1576" spans="1:5">
      <c r="A1576" s="4" t="str">
        <f>"20228021116"</f>
        <v>20228021116</v>
      </c>
      <c r="B1576" s="4" t="str">
        <f t="shared" si="25"/>
        <v>20220306</v>
      </c>
      <c r="C1576" s="5">
        <v>0</v>
      </c>
      <c r="D1576" s="5">
        <v>0</v>
      </c>
      <c r="E1576" s="5">
        <v>0</v>
      </c>
    </row>
    <row r="1577" spans="1:5">
      <c r="A1577" s="4" t="str">
        <f>"20228021117"</f>
        <v>20228021117</v>
      </c>
      <c r="B1577" s="4" t="str">
        <f t="shared" si="25"/>
        <v>20220306</v>
      </c>
      <c r="C1577" s="5">
        <v>0</v>
      </c>
      <c r="D1577" s="5">
        <v>0</v>
      </c>
      <c r="E1577" s="5">
        <v>0</v>
      </c>
    </row>
    <row r="1578" spans="1:5">
      <c r="A1578" s="4" t="str">
        <f>"20228021118"</f>
        <v>20228021118</v>
      </c>
      <c r="B1578" s="4" t="str">
        <f t="shared" si="25"/>
        <v>20220306</v>
      </c>
      <c r="C1578" s="5">
        <v>59.4</v>
      </c>
      <c r="D1578" s="5">
        <v>80.5</v>
      </c>
      <c r="E1578" s="5">
        <v>72.06</v>
      </c>
    </row>
    <row r="1579" spans="1:5">
      <c r="A1579" s="4" t="str">
        <f>"20228021119"</f>
        <v>20228021119</v>
      </c>
      <c r="B1579" s="4" t="str">
        <f t="shared" si="25"/>
        <v>20220306</v>
      </c>
      <c r="C1579" s="5">
        <v>0</v>
      </c>
      <c r="D1579" s="5">
        <v>0</v>
      </c>
      <c r="E1579" s="5">
        <v>0</v>
      </c>
    </row>
    <row r="1580" spans="1:5">
      <c r="A1580" s="4" t="str">
        <f>"20228021120"</f>
        <v>20228021120</v>
      </c>
      <c r="B1580" s="4" t="str">
        <f t="shared" si="25"/>
        <v>20220306</v>
      </c>
      <c r="C1580" s="5">
        <v>0</v>
      </c>
      <c r="D1580" s="5">
        <v>0</v>
      </c>
      <c r="E1580" s="5">
        <v>0</v>
      </c>
    </row>
    <row r="1581" spans="1:5">
      <c r="A1581" s="4" t="str">
        <f>"20228021121"</f>
        <v>20228021121</v>
      </c>
      <c r="B1581" s="4" t="str">
        <f t="shared" si="25"/>
        <v>20220306</v>
      </c>
      <c r="C1581" s="5">
        <v>65.8</v>
      </c>
      <c r="D1581" s="5">
        <v>87.1</v>
      </c>
      <c r="E1581" s="5">
        <v>78.58</v>
      </c>
    </row>
    <row r="1582" spans="1:5">
      <c r="A1582" s="4" t="str">
        <f>"20228021122"</f>
        <v>20228021122</v>
      </c>
      <c r="B1582" s="4" t="str">
        <f t="shared" si="25"/>
        <v>20220306</v>
      </c>
      <c r="C1582" s="5">
        <v>97.8</v>
      </c>
      <c r="D1582" s="5">
        <v>100.1</v>
      </c>
      <c r="E1582" s="5">
        <v>99.18</v>
      </c>
    </row>
    <row r="1583" spans="1:5">
      <c r="A1583" s="4" t="str">
        <f>"20228021123"</f>
        <v>20228021123</v>
      </c>
      <c r="B1583" s="4" t="str">
        <f t="shared" si="25"/>
        <v>20220306</v>
      </c>
      <c r="C1583" s="5">
        <v>78.4</v>
      </c>
      <c r="D1583" s="5">
        <v>77.5</v>
      </c>
      <c r="E1583" s="5">
        <v>77.86</v>
      </c>
    </row>
    <row r="1584" spans="1:5">
      <c r="A1584" s="4" t="str">
        <f>"20228021124"</f>
        <v>20228021124</v>
      </c>
      <c r="B1584" s="4" t="str">
        <f t="shared" si="25"/>
        <v>20220306</v>
      </c>
      <c r="C1584" s="5">
        <v>73.8</v>
      </c>
      <c r="D1584" s="5">
        <v>86.8</v>
      </c>
      <c r="E1584" s="5">
        <v>81.6</v>
      </c>
    </row>
    <row r="1585" spans="1:5">
      <c r="A1585" s="4" t="str">
        <f>"20228021125"</f>
        <v>20228021125</v>
      </c>
      <c r="B1585" s="4" t="str">
        <f t="shared" ref="B1585:B1595" si="26">"20220306"</f>
        <v>20220306</v>
      </c>
      <c r="C1585" s="5">
        <v>88</v>
      </c>
      <c r="D1585" s="5">
        <v>84.8</v>
      </c>
      <c r="E1585" s="5">
        <v>86.08</v>
      </c>
    </row>
    <row r="1586" spans="1:5">
      <c r="A1586" s="4" t="str">
        <f>"20228021126"</f>
        <v>20228021126</v>
      </c>
      <c r="B1586" s="4" t="str">
        <f t="shared" si="26"/>
        <v>20220306</v>
      </c>
      <c r="C1586" s="5">
        <v>87.8</v>
      </c>
      <c r="D1586" s="5">
        <v>94.5</v>
      </c>
      <c r="E1586" s="5">
        <v>91.82</v>
      </c>
    </row>
    <row r="1587" spans="1:5">
      <c r="A1587" s="4" t="str">
        <f>"20228021127"</f>
        <v>20228021127</v>
      </c>
      <c r="B1587" s="4" t="str">
        <f t="shared" si="26"/>
        <v>20220306</v>
      </c>
      <c r="C1587" s="5">
        <v>43.5</v>
      </c>
      <c r="D1587" s="5">
        <v>49</v>
      </c>
      <c r="E1587" s="5">
        <v>46.8</v>
      </c>
    </row>
    <row r="1588" spans="1:5">
      <c r="A1588" s="4" t="str">
        <f>"20228021128"</f>
        <v>20228021128</v>
      </c>
      <c r="B1588" s="4" t="str">
        <f t="shared" si="26"/>
        <v>20220306</v>
      </c>
      <c r="C1588" s="5">
        <v>89.5</v>
      </c>
      <c r="D1588" s="5">
        <v>91.6</v>
      </c>
      <c r="E1588" s="5">
        <v>90.76</v>
      </c>
    </row>
    <row r="1589" spans="1:5">
      <c r="A1589" s="4" t="str">
        <f>"20228021129"</f>
        <v>20228021129</v>
      </c>
      <c r="B1589" s="4" t="str">
        <f t="shared" si="26"/>
        <v>20220306</v>
      </c>
      <c r="C1589" s="5">
        <v>0</v>
      </c>
      <c r="D1589" s="5">
        <v>0</v>
      </c>
      <c r="E1589" s="5">
        <v>0</v>
      </c>
    </row>
    <row r="1590" spans="1:5">
      <c r="A1590" s="4" t="str">
        <f>"20228021130"</f>
        <v>20228021130</v>
      </c>
      <c r="B1590" s="4" t="str">
        <f t="shared" si="26"/>
        <v>20220306</v>
      </c>
      <c r="C1590" s="5">
        <v>0</v>
      </c>
      <c r="D1590" s="5">
        <v>0</v>
      </c>
      <c r="E1590" s="5">
        <v>0</v>
      </c>
    </row>
    <row r="1591" spans="1:5">
      <c r="A1591" s="4" t="str">
        <f>"20228021201"</f>
        <v>20228021201</v>
      </c>
      <c r="B1591" s="4" t="str">
        <f t="shared" si="26"/>
        <v>20220306</v>
      </c>
      <c r="C1591" s="5">
        <v>0</v>
      </c>
      <c r="D1591" s="5">
        <v>0</v>
      </c>
      <c r="E1591" s="5">
        <v>0</v>
      </c>
    </row>
    <row r="1592" spans="1:5">
      <c r="A1592" s="4" t="str">
        <f>"20228021202"</f>
        <v>20228021202</v>
      </c>
      <c r="B1592" s="4" t="str">
        <f t="shared" si="26"/>
        <v>20220306</v>
      </c>
      <c r="C1592" s="5">
        <v>99.7</v>
      </c>
      <c r="D1592" s="5">
        <v>100.6</v>
      </c>
      <c r="E1592" s="5">
        <v>100.24</v>
      </c>
    </row>
    <row r="1593" spans="1:5">
      <c r="A1593" s="4" t="str">
        <f>"20228021203"</f>
        <v>20228021203</v>
      </c>
      <c r="B1593" s="4" t="str">
        <f t="shared" si="26"/>
        <v>20220306</v>
      </c>
      <c r="C1593" s="5">
        <v>84.9</v>
      </c>
      <c r="D1593" s="5">
        <v>92.6</v>
      </c>
      <c r="E1593" s="5">
        <v>89.52</v>
      </c>
    </row>
    <row r="1594" spans="1:5">
      <c r="A1594" s="4" t="str">
        <f>"20228021204"</f>
        <v>20228021204</v>
      </c>
      <c r="B1594" s="4" t="str">
        <f t="shared" si="26"/>
        <v>20220306</v>
      </c>
      <c r="C1594" s="5">
        <v>0</v>
      </c>
      <c r="D1594" s="5">
        <v>0</v>
      </c>
      <c r="E1594" s="5">
        <v>0</v>
      </c>
    </row>
    <row r="1595" spans="1:5">
      <c r="A1595" s="4" t="str">
        <f>"20228021205"</f>
        <v>20228021205</v>
      </c>
      <c r="B1595" s="4" t="str">
        <f t="shared" si="26"/>
        <v>20220306</v>
      </c>
      <c r="C1595" s="5">
        <v>78.8</v>
      </c>
      <c r="D1595" s="5">
        <v>88.3</v>
      </c>
      <c r="E1595" s="5">
        <v>84.5</v>
      </c>
    </row>
    <row r="1596" spans="1:5">
      <c r="A1596" s="4" t="str">
        <f>"20228021206"</f>
        <v>20228021206</v>
      </c>
      <c r="B1596" s="4" t="str">
        <f t="shared" ref="B1596:B1659" si="27">"20220307"</f>
        <v>20220307</v>
      </c>
      <c r="C1596" s="5">
        <v>98.5</v>
      </c>
      <c r="D1596" s="5">
        <v>109.6</v>
      </c>
      <c r="E1596" s="5">
        <v>105.16</v>
      </c>
    </row>
    <row r="1597" spans="1:5">
      <c r="A1597" s="4" t="str">
        <f>"20228021207"</f>
        <v>20228021207</v>
      </c>
      <c r="B1597" s="4" t="str">
        <f t="shared" si="27"/>
        <v>20220307</v>
      </c>
      <c r="C1597" s="5">
        <v>74.4</v>
      </c>
      <c r="D1597" s="5">
        <v>80.7</v>
      </c>
      <c r="E1597" s="5">
        <v>78.18</v>
      </c>
    </row>
    <row r="1598" spans="1:5">
      <c r="A1598" s="4" t="str">
        <f>"20228021208"</f>
        <v>20228021208</v>
      </c>
      <c r="B1598" s="4" t="str">
        <f t="shared" si="27"/>
        <v>20220307</v>
      </c>
      <c r="C1598" s="5">
        <v>81.7</v>
      </c>
      <c r="D1598" s="5">
        <v>93.3</v>
      </c>
      <c r="E1598" s="5">
        <v>88.66</v>
      </c>
    </row>
    <row r="1599" spans="1:5">
      <c r="A1599" s="4" t="str">
        <f>"20228021209"</f>
        <v>20228021209</v>
      </c>
      <c r="B1599" s="4" t="str">
        <f t="shared" si="27"/>
        <v>20220307</v>
      </c>
      <c r="C1599" s="5">
        <v>98.6</v>
      </c>
      <c r="D1599" s="5">
        <v>104.3</v>
      </c>
      <c r="E1599" s="5">
        <v>102.02</v>
      </c>
    </row>
    <row r="1600" spans="1:5">
      <c r="A1600" s="4" t="str">
        <f>"20228021210"</f>
        <v>20228021210</v>
      </c>
      <c r="B1600" s="4" t="str">
        <f t="shared" si="27"/>
        <v>20220307</v>
      </c>
      <c r="C1600" s="5">
        <v>0</v>
      </c>
      <c r="D1600" s="5">
        <v>0</v>
      </c>
      <c r="E1600" s="5">
        <v>0</v>
      </c>
    </row>
    <row r="1601" spans="1:5">
      <c r="A1601" s="4" t="str">
        <f>"20228021211"</f>
        <v>20228021211</v>
      </c>
      <c r="B1601" s="4" t="str">
        <f t="shared" si="27"/>
        <v>20220307</v>
      </c>
      <c r="C1601" s="5">
        <v>0</v>
      </c>
      <c r="D1601" s="5">
        <v>0</v>
      </c>
      <c r="E1601" s="5">
        <v>0</v>
      </c>
    </row>
    <row r="1602" spans="1:5">
      <c r="A1602" s="4" t="str">
        <f>"20228021212"</f>
        <v>20228021212</v>
      </c>
      <c r="B1602" s="4" t="str">
        <f t="shared" si="27"/>
        <v>20220307</v>
      </c>
      <c r="C1602" s="5">
        <v>97.7</v>
      </c>
      <c r="D1602" s="5">
        <v>107.4</v>
      </c>
      <c r="E1602" s="5">
        <v>103.52</v>
      </c>
    </row>
    <row r="1603" spans="1:5">
      <c r="A1603" s="4" t="str">
        <f>"20228021213"</f>
        <v>20228021213</v>
      </c>
      <c r="B1603" s="4" t="str">
        <f t="shared" si="27"/>
        <v>20220307</v>
      </c>
      <c r="C1603" s="5">
        <v>0</v>
      </c>
      <c r="D1603" s="5">
        <v>0</v>
      </c>
      <c r="E1603" s="5">
        <v>0</v>
      </c>
    </row>
    <row r="1604" spans="1:5">
      <c r="A1604" s="4" t="str">
        <f>"20228021214"</f>
        <v>20228021214</v>
      </c>
      <c r="B1604" s="4" t="str">
        <f t="shared" si="27"/>
        <v>20220307</v>
      </c>
      <c r="C1604" s="5">
        <v>95.8</v>
      </c>
      <c r="D1604" s="5">
        <v>100.1</v>
      </c>
      <c r="E1604" s="5">
        <v>98.38</v>
      </c>
    </row>
    <row r="1605" spans="1:5">
      <c r="A1605" s="4" t="str">
        <f>"20228021215"</f>
        <v>20228021215</v>
      </c>
      <c r="B1605" s="4" t="str">
        <f t="shared" si="27"/>
        <v>20220307</v>
      </c>
      <c r="C1605" s="5">
        <v>0</v>
      </c>
      <c r="D1605" s="5">
        <v>0</v>
      </c>
      <c r="E1605" s="5">
        <v>0</v>
      </c>
    </row>
    <row r="1606" spans="1:5">
      <c r="A1606" s="4" t="str">
        <f>"20228021216"</f>
        <v>20228021216</v>
      </c>
      <c r="B1606" s="4" t="str">
        <f t="shared" si="27"/>
        <v>20220307</v>
      </c>
      <c r="C1606" s="5">
        <v>0</v>
      </c>
      <c r="D1606" s="5">
        <v>0</v>
      </c>
      <c r="E1606" s="5">
        <v>0</v>
      </c>
    </row>
    <row r="1607" spans="1:5">
      <c r="A1607" s="4" t="str">
        <f>"20228021217"</f>
        <v>20228021217</v>
      </c>
      <c r="B1607" s="4" t="str">
        <f t="shared" si="27"/>
        <v>20220307</v>
      </c>
      <c r="C1607" s="5">
        <v>99</v>
      </c>
      <c r="D1607" s="5">
        <v>100.9</v>
      </c>
      <c r="E1607" s="5">
        <v>100.14</v>
      </c>
    </row>
    <row r="1608" spans="1:5">
      <c r="A1608" s="4" t="str">
        <f>"20228021218"</f>
        <v>20228021218</v>
      </c>
      <c r="B1608" s="4" t="str">
        <f t="shared" si="27"/>
        <v>20220307</v>
      </c>
      <c r="C1608" s="5">
        <v>92.5</v>
      </c>
      <c r="D1608" s="5">
        <v>100.4</v>
      </c>
      <c r="E1608" s="5">
        <v>97.24</v>
      </c>
    </row>
    <row r="1609" spans="1:5">
      <c r="A1609" s="4" t="str">
        <f>"20228021219"</f>
        <v>20228021219</v>
      </c>
      <c r="B1609" s="4" t="str">
        <f t="shared" si="27"/>
        <v>20220307</v>
      </c>
      <c r="C1609" s="5">
        <v>90</v>
      </c>
      <c r="D1609" s="5">
        <v>102.4</v>
      </c>
      <c r="E1609" s="5">
        <v>97.44</v>
      </c>
    </row>
    <row r="1610" spans="1:5">
      <c r="A1610" s="4" t="str">
        <f>"20228021220"</f>
        <v>20228021220</v>
      </c>
      <c r="B1610" s="4" t="str">
        <f t="shared" si="27"/>
        <v>20220307</v>
      </c>
      <c r="C1610" s="5">
        <v>77.4</v>
      </c>
      <c r="D1610" s="5">
        <v>79.5</v>
      </c>
      <c r="E1610" s="5">
        <v>78.66</v>
      </c>
    </row>
    <row r="1611" spans="1:5">
      <c r="A1611" s="4" t="str">
        <f>"20228021221"</f>
        <v>20228021221</v>
      </c>
      <c r="B1611" s="4" t="str">
        <f t="shared" si="27"/>
        <v>20220307</v>
      </c>
      <c r="C1611" s="5">
        <v>97</v>
      </c>
      <c r="D1611" s="5">
        <v>100.6</v>
      </c>
      <c r="E1611" s="5">
        <v>99.16</v>
      </c>
    </row>
    <row r="1612" spans="1:5">
      <c r="A1612" s="4" t="str">
        <f>"20228021222"</f>
        <v>20228021222</v>
      </c>
      <c r="B1612" s="4" t="str">
        <f t="shared" si="27"/>
        <v>20220307</v>
      </c>
      <c r="C1612" s="5">
        <v>90.4</v>
      </c>
      <c r="D1612" s="5">
        <v>97.5</v>
      </c>
      <c r="E1612" s="5">
        <v>94.66</v>
      </c>
    </row>
    <row r="1613" spans="1:5">
      <c r="A1613" s="4" t="str">
        <f>"20228021223"</f>
        <v>20228021223</v>
      </c>
      <c r="B1613" s="4" t="str">
        <f t="shared" si="27"/>
        <v>20220307</v>
      </c>
      <c r="C1613" s="5">
        <v>75.7</v>
      </c>
      <c r="D1613" s="5">
        <v>84.6</v>
      </c>
      <c r="E1613" s="5">
        <v>81.04</v>
      </c>
    </row>
    <row r="1614" spans="1:5">
      <c r="A1614" s="4" t="str">
        <f>"20228021224"</f>
        <v>20228021224</v>
      </c>
      <c r="B1614" s="4" t="str">
        <f t="shared" si="27"/>
        <v>20220307</v>
      </c>
      <c r="C1614" s="5">
        <v>0</v>
      </c>
      <c r="D1614" s="5">
        <v>0</v>
      </c>
      <c r="E1614" s="5">
        <v>0</v>
      </c>
    </row>
    <row r="1615" spans="1:5">
      <c r="A1615" s="4" t="str">
        <f>"20228021225"</f>
        <v>20228021225</v>
      </c>
      <c r="B1615" s="4" t="str">
        <f t="shared" si="27"/>
        <v>20220307</v>
      </c>
      <c r="C1615" s="5">
        <v>87</v>
      </c>
      <c r="D1615" s="5">
        <v>90</v>
      </c>
      <c r="E1615" s="5">
        <v>88.8</v>
      </c>
    </row>
    <row r="1616" spans="1:5">
      <c r="A1616" s="4" t="str">
        <f>"20228021226"</f>
        <v>20228021226</v>
      </c>
      <c r="B1616" s="4" t="str">
        <f t="shared" si="27"/>
        <v>20220307</v>
      </c>
      <c r="C1616" s="5">
        <v>100.8</v>
      </c>
      <c r="D1616" s="5">
        <v>91.6</v>
      </c>
      <c r="E1616" s="5">
        <v>95.28</v>
      </c>
    </row>
    <row r="1617" spans="1:5">
      <c r="A1617" s="4" t="str">
        <f>"20228021227"</f>
        <v>20228021227</v>
      </c>
      <c r="B1617" s="4" t="str">
        <f t="shared" si="27"/>
        <v>20220307</v>
      </c>
      <c r="C1617" s="5">
        <v>83.5</v>
      </c>
      <c r="D1617" s="5">
        <v>77.7</v>
      </c>
      <c r="E1617" s="5">
        <v>80.02</v>
      </c>
    </row>
    <row r="1618" spans="1:5">
      <c r="A1618" s="4" t="str">
        <f>"20228021228"</f>
        <v>20228021228</v>
      </c>
      <c r="B1618" s="4" t="str">
        <f t="shared" si="27"/>
        <v>20220307</v>
      </c>
      <c r="C1618" s="5">
        <v>0</v>
      </c>
      <c r="D1618" s="5">
        <v>0</v>
      </c>
      <c r="E1618" s="5">
        <v>0</v>
      </c>
    </row>
    <row r="1619" spans="1:5">
      <c r="A1619" s="4" t="str">
        <f>"20228021229"</f>
        <v>20228021229</v>
      </c>
      <c r="B1619" s="4" t="str">
        <f t="shared" si="27"/>
        <v>20220307</v>
      </c>
      <c r="C1619" s="5">
        <v>0</v>
      </c>
      <c r="D1619" s="5">
        <v>0</v>
      </c>
      <c r="E1619" s="5">
        <v>0</v>
      </c>
    </row>
    <row r="1620" spans="1:5">
      <c r="A1620" s="4" t="str">
        <f>"20228021230"</f>
        <v>20228021230</v>
      </c>
      <c r="B1620" s="4" t="str">
        <f t="shared" si="27"/>
        <v>20220307</v>
      </c>
      <c r="C1620" s="5">
        <v>89.4</v>
      </c>
      <c r="D1620" s="5">
        <v>102.3</v>
      </c>
      <c r="E1620" s="5">
        <v>97.14</v>
      </c>
    </row>
    <row r="1621" spans="1:5">
      <c r="A1621" s="4" t="str">
        <f>"20228021301"</f>
        <v>20228021301</v>
      </c>
      <c r="B1621" s="4" t="str">
        <f t="shared" si="27"/>
        <v>20220307</v>
      </c>
      <c r="C1621" s="5">
        <v>101</v>
      </c>
      <c r="D1621" s="5">
        <v>96.4</v>
      </c>
      <c r="E1621" s="5">
        <v>98.24</v>
      </c>
    </row>
    <row r="1622" spans="1:5">
      <c r="A1622" s="4" t="str">
        <f>"20228021302"</f>
        <v>20228021302</v>
      </c>
      <c r="B1622" s="4" t="str">
        <f t="shared" si="27"/>
        <v>20220307</v>
      </c>
      <c r="C1622" s="5">
        <v>91.9</v>
      </c>
      <c r="D1622" s="5">
        <v>93</v>
      </c>
      <c r="E1622" s="5">
        <v>92.56</v>
      </c>
    </row>
    <row r="1623" spans="1:5">
      <c r="A1623" s="4" t="str">
        <f>"20228021303"</f>
        <v>20228021303</v>
      </c>
      <c r="B1623" s="4" t="str">
        <f t="shared" si="27"/>
        <v>20220307</v>
      </c>
      <c r="C1623" s="5">
        <v>0</v>
      </c>
      <c r="D1623" s="5">
        <v>0</v>
      </c>
      <c r="E1623" s="5">
        <v>0</v>
      </c>
    </row>
    <row r="1624" spans="1:5">
      <c r="A1624" s="4" t="str">
        <f>"20228021304"</f>
        <v>20228021304</v>
      </c>
      <c r="B1624" s="4" t="str">
        <f t="shared" si="27"/>
        <v>20220307</v>
      </c>
      <c r="C1624" s="5">
        <v>92.3</v>
      </c>
      <c r="D1624" s="5">
        <v>96.9</v>
      </c>
      <c r="E1624" s="5">
        <v>95.06</v>
      </c>
    </row>
    <row r="1625" spans="1:5">
      <c r="A1625" s="4" t="str">
        <f>"20228021305"</f>
        <v>20228021305</v>
      </c>
      <c r="B1625" s="4" t="str">
        <f t="shared" si="27"/>
        <v>20220307</v>
      </c>
      <c r="C1625" s="5">
        <v>83.6</v>
      </c>
      <c r="D1625" s="5">
        <v>89.7</v>
      </c>
      <c r="E1625" s="5">
        <v>87.26</v>
      </c>
    </row>
    <row r="1626" spans="1:5">
      <c r="A1626" s="4" t="str">
        <f>"20228021306"</f>
        <v>20228021306</v>
      </c>
      <c r="B1626" s="4" t="str">
        <f t="shared" si="27"/>
        <v>20220307</v>
      </c>
      <c r="C1626" s="5">
        <v>95.6</v>
      </c>
      <c r="D1626" s="5">
        <v>99.4</v>
      </c>
      <c r="E1626" s="5">
        <v>97.88</v>
      </c>
    </row>
    <row r="1627" spans="1:5">
      <c r="A1627" s="4" t="str">
        <f>"20228021307"</f>
        <v>20228021307</v>
      </c>
      <c r="B1627" s="4" t="str">
        <f t="shared" si="27"/>
        <v>20220307</v>
      </c>
      <c r="C1627" s="5">
        <v>0</v>
      </c>
      <c r="D1627" s="5">
        <v>0</v>
      </c>
      <c r="E1627" s="5">
        <v>0</v>
      </c>
    </row>
    <row r="1628" spans="1:5">
      <c r="A1628" s="4" t="str">
        <f>"20228021308"</f>
        <v>20228021308</v>
      </c>
      <c r="B1628" s="4" t="str">
        <f t="shared" si="27"/>
        <v>20220307</v>
      </c>
      <c r="C1628" s="5">
        <v>0</v>
      </c>
      <c r="D1628" s="5">
        <v>0</v>
      </c>
      <c r="E1628" s="5">
        <v>0</v>
      </c>
    </row>
    <row r="1629" spans="1:5">
      <c r="A1629" s="4" t="str">
        <f>"20228021309"</f>
        <v>20228021309</v>
      </c>
      <c r="B1629" s="4" t="str">
        <f t="shared" si="27"/>
        <v>20220307</v>
      </c>
      <c r="C1629" s="5">
        <v>81.7</v>
      </c>
      <c r="D1629" s="5">
        <v>97.8</v>
      </c>
      <c r="E1629" s="5">
        <v>91.36</v>
      </c>
    </row>
    <row r="1630" spans="1:5">
      <c r="A1630" s="4" t="str">
        <f>"20228021310"</f>
        <v>20228021310</v>
      </c>
      <c r="B1630" s="4" t="str">
        <f t="shared" si="27"/>
        <v>20220307</v>
      </c>
      <c r="C1630" s="5">
        <v>96.3</v>
      </c>
      <c r="D1630" s="5">
        <v>99.2</v>
      </c>
      <c r="E1630" s="5">
        <v>98.04</v>
      </c>
    </row>
    <row r="1631" spans="1:5">
      <c r="A1631" s="4" t="str">
        <f>"20228021311"</f>
        <v>20228021311</v>
      </c>
      <c r="B1631" s="4" t="str">
        <f t="shared" si="27"/>
        <v>20220307</v>
      </c>
      <c r="C1631" s="5">
        <v>74.6</v>
      </c>
      <c r="D1631" s="5">
        <v>71.2</v>
      </c>
      <c r="E1631" s="5">
        <v>72.56</v>
      </c>
    </row>
    <row r="1632" spans="1:5">
      <c r="A1632" s="4" t="str">
        <f>"20228021312"</f>
        <v>20228021312</v>
      </c>
      <c r="B1632" s="4" t="str">
        <f t="shared" si="27"/>
        <v>20220307</v>
      </c>
      <c r="C1632" s="5">
        <v>94.8</v>
      </c>
      <c r="D1632" s="5">
        <v>105.4</v>
      </c>
      <c r="E1632" s="5">
        <v>101.16</v>
      </c>
    </row>
    <row r="1633" spans="1:5">
      <c r="A1633" s="4" t="str">
        <f>"20228021313"</f>
        <v>20228021313</v>
      </c>
      <c r="B1633" s="4" t="str">
        <f t="shared" si="27"/>
        <v>20220307</v>
      </c>
      <c r="C1633" s="5">
        <v>0</v>
      </c>
      <c r="D1633" s="5">
        <v>0</v>
      </c>
      <c r="E1633" s="5">
        <v>0</v>
      </c>
    </row>
    <row r="1634" spans="1:5">
      <c r="A1634" s="4" t="str">
        <f>"20228021314"</f>
        <v>20228021314</v>
      </c>
      <c r="B1634" s="4" t="str">
        <f t="shared" si="27"/>
        <v>20220307</v>
      </c>
      <c r="C1634" s="5">
        <v>0</v>
      </c>
      <c r="D1634" s="5">
        <v>0</v>
      </c>
      <c r="E1634" s="5">
        <v>0</v>
      </c>
    </row>
    <row r="1635" spans="1:5">
      <c r="A1635" s="4" t="str">
        <f>"20228021315"</f>
        <v>20228021315</v>
      </c>
      <c r="B1635" s="4" t="str">
        <f t="shared" si="27"/>
        <v>20220307</v>
      </c>
      <c r="C1635" s="5">
        <v>0</v>
      </c>
      <c r="D1635" s="5">
        <v>0</v>
      </c>
      <c r="E1635" s="5">
        <v>0</v>
      </c>
    </row>
    <row r="1636" spans="1:5">
      <c r="A1636" s="4" t="str">
        <f>"20228021316"</f>
        <v>20228021316</v>
      </c>
      <c r="B1636" s="4" t="str">
        <f t="shared" si="27"/>
        <v>20220307</v>
      </c>
      <c r="C1636" s="5">
        <v>98.1</v>
      </c>
      <c r="D1636" s="5">
        <v>104.8</v>
      </c>
      <c r="E1636" s="5">
        <v>102.12</v>
      </c>
    </row>
    <row r="1637" spans="1:5">
      <c r="A1637" s="4" t="str">
        <f>"20228021317"</f>
        <v>20228021317</v>
      </c>
      <c r="B1637" s="4" t="str">
        <f t="shared" si="27"/>
        <v>20220307</v>
      </c>
      <c r="C1637" s="5">
        <v>0</v>
      </c>
      <c r="D1637" s="5">
        <v>0</v>
      </c>
      <c r="E1637" s="5">
        <v>0</v>
      </c>
    </row>
    <row r="1638" spans="1:5">
      <c r="A1638" s="4" t="str">
        <f>"20228021318"</f>
        <v>20228021318</v>
      </c>
      <c r="B1638" s="4" t="str">
        <f t="shared" si="27"/>
        <v>20220307</v>
      </c>
      <c r="C1638" s="5">
        <v>0</v>
      </c>
      <c r="D1638" s="5">
        <v>0</v>
      </c>
      <c r="E1638" s="5">
        <v>0</v>
      </c>
    </row>
    <row r="1639" spans="1:5">
      <c r="A1639" s="4" t="str">
        <f>"20228021319"</f>
        <v>20228021319</v>
      </c>
      <c r="B1639" s="4" t="str">
        <f t="shared" si="27"/>
        <v>20220307</v>
      </c>
      <c r="C1639" s="5">
        <v>0</v>
      </c>
      <c r="D1639" s="5">
        <v>0</v>
      </c>
      <c r="E1639" s="5">
        <v>0</v>
      </c>
    </row>
    <row r="1640" spans="1:5">
      <c r="A1640" s="4" t="str">
        <f>"20228021320"</f>
        <v>20228021320</v>
      </c>
      <c r="B1640" s="4" t="str">
        <f t="shared" si="27"/>
        <v>20220307</v>
      </c>
      <c r="C1640" s="5">
        <v>81.8</v>
      </c>
      <c r="D1640" s="5">
        <v>95.9</v>
      </c>
      <c r="E1640" s="5">
        <v>90.26</v>
      </c>
    </row>
    <row r="1641" spans="1:5">
      <c r="A1641" s="4" t="str">
        <f>"20228021321"</f>
        <v>20228021321</v>
      </c>
      <c r="B1641" s="4" t="str">
        <f t="shared" si="27"/>
        <v>20220307</v>
      </c>
      <c r="C1641" s="5">
        <v>91.5</v>
      </c>
      <c r="D1641" s="5">
        <v>85.9</v>
      </c>
      <c r="E1641" s="5">
        <v>88.14</v>
      </c>
    </row>
    <row r="1642" spans="1:5">
      <c r="A1642" s="4" t="str">
        <f>"20228021322"</f>
        <v>20228021322</v>
      </c>
      <c r="B1642" s="4" t="str">
        <f t="shared" si="27"/>
        <v>20220307</v>
      </c>
      <c r="C1642" s="5">
        <v>96.8</v>
      </c>
      <c r="D1642" s="5">
        <v>102.2</v>
      </c>
      <c r="E1642" s="5">
        <v>100.04</v>
      </c>
    </row>
    <row r="1643" spans="1:5">
      <c r="A1643" s="4" t="str">
        <f>"20228021323"</f>
        <v>20228021323</v>
      </c>
      <c r="B1643" s="4" t="str">
        <f t="shared" si="27"/>
        <v>20220307</v>
      </c>
      <c r="C1643" s="5">
        <v>0</v>
      </c>
      <c r="D1643" s="5">
        <v>0</v>
      </c>
      <c r="E1643" s="5">
        <v>0</v>
      </c>
    </row>
    <row r="1644" spans="1:5">
      <c r="A1644" s="4" t="str">
        <f>"20228021324"</f>
        <v>20228021324</v>
      </c>
      <c r="B1644" s="4" t="str">
        <f t="shared" si="27"/>
        <v>20220307</v>
      </c>
      <c r="C1644" s="5">
        <v>86.6</v>
      </c>
      <c r="D1644" s="5">
        <v>96.8</v>
      </c>
      <c r="E1644" s="5">
        <v>92.72</v>
      </c>
    </row>
    <row r="1645" spans="1:5">
      <c r="A1645" s="4" t="str">
        <f>"20228021325"</f>
        <v>20228021325</v>
      </c>
      <c r="B1645" s="4" t="str">
        <f t="shared" si="27"/>
        <v>20220307</v>
      </c>
      <c r="C1645" s="5">
        <v>0</v>
      </c>
      <c r="D1645" s="5">
        <v>0</v>
      </c>
      <c r="E1645" s="5">
        <v>0</v>
      </c>
    </row>
    <row r="1646" spans="1:5">
      <c r="A1646" s="4" t="str">
        <f>"20228021326"</f>
        <v>20228021326</v>
      </c>
      <c r="B1646" s="4" t="str">
        <f t="shared" si="27"/>
        <v>20220307</v>
      </c>
      <c r="C1646" s="5">
        <v>84.7</v>
      </c>
      <c r="D1646" s="5">
        <v>92.5</v>
      </c>
      <c r="E1646" s="5">
        <v>89.38</v>
      </c>
    </row>
    <row r="1647" spans="1:5">
      <c r="A1647" s="4" t="str">
        <f>"20228021327"</f>
        <v>20228021327</v>
      </c>
      <c r="B1647" s="4" t="str">
        <f t="shared" si="27"/>
        <v>20220307</v>
      </c>
      <c r="C1647" s="5">
        <v>87.3</v>
      </c>
      <c r="D1647" s="5">
        <v>99.8</v>
      </c>
      <c r="E1647" s="5">
        <v>94.8</v>
      </c>
    </row>
    <row r="1648" spans="1:5">
      <c r="A1648" s="4" t="str">
        <f>"20228021328"</f>
        <v>20228021328</v>
      </c>
      <c r="B1648" s="4" t="str">
        <f t="shared" si="27"/>
        <v>20220307</v>
      </c>
      <c r="C1648" s="5">
        <v>0</v>
      </c>
      <c r="D1648" s="5">
        <v>0</v>
      </c>
      <c r="E1648" s="5">
        <v>0</v>
      </c>
    </row>
    <row r="1649" spans="1:5">
      <c r="A1649" s="4" t="str">
        <f>"20228021329"</f>
        <v>20228021329</v>
      </c>
      <c r="B1649" s="4" t="str">
        <f t="shared" si="27"/>
        <v>20220307</v>
      </c>
      <c r="C1649" s="5">
        <v>70.1</v>
      </c>
      <c r="D1649" s="5">
        <v>75.2</v>
      </c>
      <c r="E1649" s="5">
        <v>73.16</v>
      </c>
    </row>
    <row r="1650" spans="1:5">
      <c r="A1650" s="4" t="str">
        <f>"20228021330"</f>
        <v>20228021330</v>
      </c>
      <c r="B1650" s="4" t="str">
        <f t="shared" si="27"/>
        <v>20220307</v>
      </c>
      <c r="C1650" s="5">
        <v>0</v>
      </c>
      <c r="D1650" s="5">
        <v>0</v>
      </c>
      <c r="E1650" s="5">
        <v>0</v>
      </c>
    </row>
    <row r="1651" spans="1:5">
      <c r="A1651" s="4" t="str">
        <f>"20228021401"</f>
        <v>20228021401</v>
      </c>
      <c r="B1651" s="4" t="str">
        <f t="shared" si="27"/>
        <v>20220307</v>
      </c>
      <c r="C1651" s="5">
        <v>0</v>
      </c>
      <c r="D1651" s="5">
        <v>0</v>
      </c>
      <c r="E1651" s="5">
        <v>0</v>
      </c>
    </row>
    <row r="1652" spans="1:5">
      <c r="A1652" s="4" t="str">
        <f>"20228021402"</f>
        <v>20228021402</v>
      </c>
      <c r="B1652" s="4" t="str">
        <f t="shared" si="27"/>
        <v>20220307</v>
      </c>
      <c r="C1652" s="5">
        <v>0</v>
      </c>
      <c r="D1652" s="5">
        <v>0</v>
      </c>
      <c r="E1652" s="5">
        <v>0</v>
      </c>
    </row>
    <row r="1653" spans="1:5">
      <c r="A1653" s="4" t="str">
        <f>"20228021403"</f>
        <v>20228021403</v>
      </c>
      <c r="B1653" s="4" t="str">
        <f t="shared" si="27"/>
        <v>20220307</v>
      </c>
      <c r="C1653" s="5">
        <v>0</v>
      </c>
      <c r="D1653" s="5">
        <v>0</v>
      </c>
      <c r="E1653" s="5">
        <v>0</v>
      </c>
    </row>
    <row r="1654" spans="1:5">
      <c r="A1654" s="4" t="str">
        <f>"20228021404"</f>
        <v>20228021404</v>
      </c>
      <c r="B1654" s="4" t="str">
        <f t="shared" si="27"/>
        <v>20220307</v>
      </c>
      <c r="C1654" s="5">
        <v>73.6</v>
      </c>
      <c r="D1654" s="5">
        <v>93.9</v>
      </c>
      <c r="E1654" s="5">
        <v>85.78</v>
      </c>
    </row>
    <row r="1655" spans="1:5">
      <c r="A1655" s="4" t="str">
        <f>"20228021405"</f>
        <v>20228021405</v>
      </c>
      <c r="B1655" s="4" t="str">
        <f t="shared" si="27"/>
        <v>20220307</v>
      </c>
      <c r="C1655" s="5">
        <v>0</v>
      </c>
      <c r="D1655" s="5">
        <v>0</v>
      </c>
      <c r="E1655" s="5">
        <v>0</v>
      </c>
    </row>
    <row r="1656" spans="1:5">
      <c r="A1656" s="4" t="str">
        <f>"20228021406"</f>
        <v>20228021406</v>
      </c>
      <c r="B1656" s="4" t="str">
        <f t="shared" si="27"/>
        <v>20220307</v>
      </c>
      <c r="C1656" s="5">
        <v>76.9</v>
      </c>
      <c r="D1656" s="5">
        <v>85.9</v>
      </c>
      <c r="E1656" s="5">
        <v>82.3</v>
      </c>
    </row>
    <row r="1657" spans="1:5">
      <c r="A1657" s="4" t="str">
        <f>"20228021407"</f>
        <v>20228021407</v>
      </c>
      <c r="B1657" s="4" t="str">
        <f t="shared" si="27"/>
        <v>20220307</v>
      </c>
      <c r="C1657" s="5">
        <v>0</v>
      </c>
      <c r="D1657" s="5">
        <v>0</v>
      </c>
      <c r="E1657" s="5">
        <v>0</v>
      </c>
    </row>
    <row r="1658" spans="1:5">
      <c r="A1658" s="4" t="str">
        <f>"20228021408"</f>
        <v>20228021408</v>
      </c>
      <c r="B1658" s="4" t="str">
        <f t="shared" si="27"/>
        <v>20220307</v>
      </c>
      <c r="C1658" s="5">
        <v>92</v>
      </c>
      <c r="D1658" s="5">
        <v>99.5</v>
      </c>
      <c r="E1658" s="5">
        <v>96.5</v>
      </c>
    </row>
    <row r="1659" spans="1:5">
      <c r="A1659" s="4" t="str">
        <f>"20228021409"</f>
        <v>20228021409</v>
      </c>
      <c r="B1659" s="4" t="str">
        <f t="shared" si="27"/>
        <v>20220307</v>
      </c>
      <c r="C1659" s="5">
        <v>0</v>
      </c>
      <c r="D1659" s="5">
        <v>0</v>
      </c>
      <c r="E1659" s="5">
        <v>0</v>
      </c>
    </row>
    <row r="1660" spans="1:5">
      <c r="A1660" s="4" t="str">
        <f>"20228021410"</f>
        <v>20228021410</v>
      </c>
      <c r="B1660" s="4" t="str">
        <f t="shared" ref="B1660:B1723" si="28">"20220307"</f>
        <v>20220307</v>
      </c>
      <c r="C1660" s="5">
        <v>0</v>
      </c>
      <c r="D1660" s="5">
        <v>91.2</v>
      </c>
      <c r="E1660" s="5">
        <v>54.72</v>
      </c>
    </row>
    <row r="1661" spans="1:5">
      <c r="A1661" s="4" t="str">
        <f>"20228021411"</f>
        <v>20228021411</v>
      </c>
      <c r="B1661" s="4" t="str">
        <f t="shared" si="28"/>
        <v>20220307</v>
      </c>
      <c r="C1661" s="5">
        <v>71.2</v>
      </c>
      <c r="D1661" s="5">
        <v>93.6</v>
      </c>
      <c r="E1661" s="5">
        <v>84.64</v>
      </c>
    </row>
    <row r="1662" spans="1:5">
      <c r="A1662" s="4" t="str">
        <f>"20228021412"</f>
        <v>20228021412</v>
      </c>
      <c r="B1662" s="4" t="str">
        <f t="shared" si="28"/>
        <v>20220307</v>
      </c>
      <c r="C1662" s="5">
        <v>0</v>
      </c>
      <c r="D1662" s="5">
        <v>0</v>
      </c>
      <c r="E1662" s="5">
        <v>0</v>
      </c>
    </row>
    <row r="1663" spans="1:5">
      <c r="A1663" s="4" t="str">
        <f>"20228021413"</f>
        <v>20228021413</v>
      </c>
      <c r="B1663" s="4" t="str">
        <f t="shared" si="28"/>
        <v>20220307</v>
      </c>
      <c r="C1663" s="5">
        <v>107.9</v>
      </c>
      <c r="D1663" s="5">
        <v>103.4</v>
      </c>
      <c r="E1663" s="5">
        <v>105.2</v>
      </c>
    </row>
    <row r="1664" spans="1:5">
      <c r="A1664" s="4" t="str">
        <f>"20228021414"</f>
        <v>20228021414</v>
      </c>
      <c r="B1664" s="4" t="str">
        <f t="shared" si="28"/>
        <v>20220307</v>
      </c>
      <c r="C1664" s="5">
        <v>84</v>
      </c>
      <c r="D1664" s="5">
        <v>93</v>
      </c>
      <c r="E1664" s="5">
        <v>89.4</v>
      </c>
    </row>
    <row r="1665" spans="1:5">
      <c r="A1665" s="4" t="str">
        <f>"20228021415"</f>
        <v>20228021415</v>
      </c>
      <c r="B1665" s="4" t="str">
        <f t="shared" si="28"/>
        <v>20220307</v>
      </c>
      <c r="C1665" s="5">
        <v>0</v>
      </c>
      <c r="D1665" s="5">
        <v>0</v>
      </c>
      <c r="E1665" s="5">
        <v>0</v>
      </c>
    </row>
    <row r="1666" spans="1:5">
      <c r="A1666" s="4" t="str">
        <f>"20228021416"</f>
        <v>20228021416</v>
      </c>
      <c r="B1666" s="4" t="str">
        <f t="shared" si="28"/>
        <v>20220307</v>
      </c>
      <c r="C1666" s="5">
        <v>0</v>
      </c>
      <c r="D1666" s="5">
        <v>85.4</v>
      </c>
      <c r="E1666" s="5">
        <v>51.24</v>
      </c>
    </row>
    <row r="1667" spans="1:5">
      <c r="A1667" s="4" t="str">
        <f>"20228021417"</f>
        <v>20228021417</v>
      </c>
      <c r="B1667" s="4" t="str">
        <f t="shared" si="28"/>
        <v>20220307</v>
      </c>
      <c r="C1667" s="5">
        <v>101.5</v>
      </c>
      <c r="D1667" s="5">
        <v>103.1</v>
      </c>
      <c r="E1667" s="5">
        <v>102.46</v>
      </c>
    </row>
    <row r="1668" spans="1:5">
      <c r="A1668" s="4" t="str">
        <f>"20228021418"</f>
        <v>20228021418</v>
      </c>
      <c r="B1668" s="4" t="str">
        <f t="shared" si="28"/>
        <v>20220307</v>
      </c>
      <c r="C1668" s="5">
        <v>88.4</v>
      </c>
      <c r="D1668" s="5">
        <v>94.6</v>
      </c>
      <c r="E1668" s="5">
        <v>92.12</v>
      </c>
    </row>
    <row r="1669" spans="1:5">
      <c r="A1669" s="4" t="str">
        <f>"20228021419"</f>
        <v>20228021419</v>
      </c>
      <c r="B1669" s="4" t="str">
        <f t="shared" si="28"/>
        <v>20220307</v>
      </c>
      <c r="C1669" s="5">
        <v>103.5</v>
      </c>
      <c r="D1669" s="5">
        <v>105.5</v>
      </c>
      <c r="E1669" s="5">
        <v>104.7</v>
      </c>
    </row>
    <row r="1670" spans="1:5">
      <c r="A1670" s="4" t="str">
        <f>"20228021420"</f>
        <v>20228021420</v>
      </c>
      <c r="B1670" s="4" t="str">
        <f t="shared" si="28"/>
        <v>20220307</v>
      </c>
      <c r="C1670" s="5">
        <v>0</v>
      </c>
      <c r="D1670" s="5">
        <v>0</v>
      </c>
      <c r="E1670" s="5">
        <v>0</v>
      </c>
    </row>
    <row r="1671" spans="1:5">
      <c r="A1671" s="4" t="str">
        <f>"20228021421"</f>
        <v>20228021421</v>
      </c>
      <c r="B1671" s="4" t="str">
        <f t="shared" si="28"/>
        <v>20220307</v>
      </c>
      <c r="C1671" s="5">
        <v>68.2</v>
      </c>
      <c r="D1671" s="5">
        <v>86</v>
      </c>
      <c r="E1671" s="5">
        <v>78.88</v>
      </c>
    </row>
    <row r="1672" spans="1:5">
      <c r="A1672" s="4" t="str">
        <f>"20228021422"</f>
        <v>20228021422</v>
      </c>
      <c r="B1672" s="4" t="str">
        <f t="shared" si="28"/>
        <v>20220307</v>
      </c>
      <c r="C1672" s="5">
        <v>90.7</v>
      </c>
      <c r="D1672" s="5">
        <v>109</v>
      </c>
      <c r="E1672" s="5">
        <v>101.68</v>
      </c>
    </row>
    <row r="1673" spans="1:5">
      <c r="A1673" s="4" t="str">
        <f>"20228021423"</f>
        <v>20228021423</v>
      </c>
      <c r="B1673" s="4" t="str">
        <f t="shared" si="28"/>
        <v>20220307</v>
      </c>
      <c r="C1673" s="5">
        <v>76.1</v>
      </c>
      <c r="D1673" s="5">
        <v>99.9</v>
      </c>
      <c r="E1673" s="5">
        <v>90.38</v>
      </c>
    </row>
    <row r="1674" spans="1:5">
      <c r="A1674" s="4" t="str">
        <f>"20228021424"</f>
        <v>20228021424</v>
      </c>
      <c r="B1674" s="4" t="str">
        <f t="shared" si="28"/>
        <v>20220307</v>
      </c>
      <c r="C1674" s="5">
        <v>86.4</v>
      </c>
      <c r="D1674" s="5">
        <v>105.7</v>
      </c>
      <c r="E1674" s="5">
        <v>97.98</v>
      </c>
    </row>
    <row r="1675" spans="1:5">
      <c r="A1675" s="4" t="str">
        <f>"20228021425"</f>
        <v>20228021425</v>
      </c>
      <c r="B1675" s="4" t="str">
        <f t="shared" si="28"/>
        <v>20220307</v>
      </c>
      <c r="C1675" s="5">
        <v>92.2</v>
      </c>
      <c r="D1675" s="5">
        <v>101.1</v>
      </c>
      <c r="E1675" s="5">
        <v>97.54</v>
      </c>
    </row>
    <row r="1676" spans="1:5">
      <c r="A1676" s="4" t="str">
        <f>"20228021426"</f>
        <v>20228021426</v>
      </c>
      <c r="B1676" s="4" t="str">
        <f t="shared" si="28"/>
        <v>20220307</v>
      </c>
      <c r="C1676" s="5">
        <v>0</v>
      </c>
      <c r="D1676" s="5">
        <v>0</v>
      </c>
      <c r="E1676" s="5">
        <v>0</v>
      </c>
    </row>
    <row r="1677" spans="1:5">
      <c r="A1677" s="4" t="str">
        <f>"20228021427"</f>
        <v>20228021427</v>
      </c>
      <c r="B1677" s="4" t="str">
        <f t="shared" si="28"/>
        <v>20220307</v>
      </c>
      <c r="C1677" s="5">
        <v>90.1</v>
      </c>
      <c r="D1677" s="5">
        <v>104</v>
      </c>
      <c r="E1677" s="5">
        <v>98.44</v>
      </c>
    </row>
    <row r="1678" spans="1:5">
      <c r="A1678" s="4" t="str">
        <f>"20228021428"</f>
        <v>20228021428</v>
      </c>
      <c r="B1678" s="4" t="str">
        <f t="shared" si="28"/>
        <v>20220307</v>
      </c>
      <c r="C1678" s="5">
        <v>91.2</v>
      </c>
      <c r="D1678" s="5">
        <v>110.9</v>
      </c>
      <c r="E1678" s="5">
        <v>103.02</v>
      </c>
    </row>
    <row r="1679" spans="1:5">
      <c r="A1679" s="4" t="str">
        <f>"20228021429"</f>
        <v>20228021429</v>
      </c>
      <c r="B1679" s="4" t="str">
        <f t="shared" si="28"/>
        <v>20220307</v>
      </c>
      <c r="C1679" s="5">
        <v>0</v>
      </c>
      <c r="D1679" s="5">
        <v>0</v>
      </c>
      <c r="E1679" s="5">
        <v>0</v>
      </c>
    </row>
    <row r="1680" spans="1:5">
      <c r="A1680" s="4" t="str">
        <f>"20228021430"</f>
        <v>20228021430</v>
      </c>
      <c r="B1680" s="4" t="str">
        <f t="shared" si="28"/>
        <v>20220307</v>
      </c>
      <c r="C1680" s="5">
        <v>97.3</v>
      </c>
      <c r="D1680" s="5">
        <v>106.2</v>
      </c>
      <c r="E1680" s="5">
        <v>102.64</v>
      </c>
    </row>
    <row r="1681" spans="1:5">
      <c r="A1681" s="4" t="str">
        <f>"20228021501"</f>
        <v>20228021501</v>
      </c>
      <c r="B1681" s="4" t="str">
        <f t="shared" si="28"/>
        <v>20220307</v>
      </c>
      <c r="C1681" s="5">
        <v>0</v>
      </c>
      <c r="D1681" s="5">
        <v>0</v>
      </c>
      <c r="E1681" s="5">
        <v>0</v>
      </c>
    </row>
    <row r="1682" spans="1:5">
      <c r="A1682" s="4" t="str">
        <f>"20228021502"</f>
        <v>20228021502</v>
      </c>
      <c r="B1682" s="4" t="str">
        <f t="shared" si="28"/>
        <v>20220307</v>
      </c>
      <c r="C1682" s="5">
        <v>87.2</v>
      </c>
      <c r="D1682" s="5">
        <v>86.3</v>
      </c>
      <c r="E1682" s="5">
        <v>86.66</v>
      </c>
    </row>
    <row r="1683" spans="1:5">
      <c r="A1683" s="4" t="str">
        <f>"20228021503"</f>
        <v>20228021503</v>
      </c>
      <c r="B1683" s="4" t="str">
        <f t="shared" si="28"/>
        <v>20220307</v>
      </c>
      <c r="C1683" s="5">
        <v>0</v>
      </c>
      <c r="D1683" s="5">
        <v>0</v>
      </c>
      <c r="E1683" s="5">
        <v>0</v>
      </c>
    </row>
    <row r="1684" spans="1:5">
      <c r="A1684" s="4" t="str">
        <f>"20228021504"</f>
        <v>20228021504</v>
      </c>
      <c r="B1684" s="4" t="str">
        <f t="shared" si="28"/>
        <v>20220307</v>
      </c>
      <c r="C1684" s="5">
        <v>77.1</v>
      </c>
      <c r="D1684" s="5">
        <v>98.5</v>
      </c>
      <c r="E1684" s="5">
        <v>89.94</v>
      </c>
    </row>
    <row r="1685" spans="1:5">
      <c r="A1685" s="4" t="str">
        <f>"20228021505"</f>
        <v>20228021505</v>
      </c>
      <c r="B1685" s="4" t="str">
        <f t="shared" si="28"/>
        <v>20220307</v>
      </c>
      <c r="C1685" s="5">
        <v>91</v>
      </c>
      <c r="D1685" s="5">
        <v>83.3</v>
      </c>
      <c r="E1685" s="5">
        <v>86.38</v>
      </c>
    </row>
    <row r="1686" spans="1:5">
      <c r="A1686" s="4" t="str">
        <f>"20228021506"</f>
        <v>20228021506</v>
      </c>
      <c r="B1686" s="4" t="str">
        <f t="shared" si="28"/>
        <v>20220307</v>
      </c>
      <c r="C1686" s="5">
        <v>71.9</v>
      </c>
      <c r="D1686" s="5">
        <v>73.8</v>
      </c>
      <c r="E1686" s="5">
        <v>73.04</v>
      </c>
    </row>
    <row r="1687" spans="1:5">
      <c r="A1687" s="4" t="str">
        <f>"20228021507"</f>
        <v>20228021507</v>
      </c>
      <c r="B1687" s="4" t="str">
        <f t="shared" si="28"/>
        <v>20220307</v>
      </c>
      <c r="C1687" s="5">
        <v>0</v>
      </c>
      <c r="D1687" s="5">
        <v>0</v>
      </c>
      <c r="E1687" s="5">
        <v>0</v>
      </c>
    </row>
    <row r="1688" spans="1:5">
      <c r="A1688" s="4" t="str">
        <f>"20228021508"</f>
        <v>20228021508</v>
      </c>
      <c r="B1688" s="4" t="str">
        <f t="shared" si="28"/>
        <v>20220307</v>
      </c>
      <c r="C1688" s="5">
        <v>0</v>
      </c>
      <c r="D1688" s="5">
        <v>0</v>
      </c>
      <c r="E1688" s="5">
        <v>0</v>
      </c>
    </row>
    <row r="1689" spans="1:5">
      <c r="A1689" s="4" t="str">
        <f>"20228021509"</f>
        <v>20228021509</v>
      </c>
      <c r="B1689" s="4" t="str">
        <f t="shared" si="28"/>
        <v>20220307</v>
      </c>
      <c r="C1689" s="5">
        <v>102.9</v>
      </c>
      <c r="D1689" s="5">
        <v>104</v>
      </c>
      <c r="E1689" s="5">
        <v>103.56</v>
      </c>
    </row>
    <row r="1690" spans="1:5">
      <c r="A1690" s="4" t="str">
        <f>"20228021510"</f>
        <v>20228021510</v>
      </c>
      <c r="B1690" s="4" t="str">
        <f t="shared" si="28"/>
        <v>20220307</v>
      </c>
      <c r="C1690" s="5">
        <v>97</v>
      </c>
      <c r="D1690" s="5">
        <v>105.6</v>
      </c>
      <c r="E1690" s="5">
        <v>102.16</v>
      </c>
    </row>
    <row r="1691" spans="1:5">
      <c r="A1691" s="4" t="str">
        <f>"20228021511"</f>
        <v>20228021511</v>
      </c>
      <c r="B1691" s="4" t="str">
        <f t="shared" si="28"/>
        <v>20220307</v>
      </c>
      <c r="C1691" s="5">
        <v>65.7</v>
      </c>
      <c r="D1691" s="5">
        <v>76.9</v>
      </c>
      <c r="E1691" s="5">
        <v>72.42</v>
      </c>
    </row>
    <row r="1692" spans="1:5">
      <c r="A1692" s="4" t="str">
        <f>"20228021512"</f>
        <v>20228021512</v>
      </c>
      <c r="B1692" s="4" t="str">
        <f t="shared" si="28"/>
        <v>20220307</v>
      </c>
      <c r="C1692" s="5">
        <v>97.7</v>
      </c>
      <c r="D1692" s="5">
        <v>100.5</v>
      </c>
      <c r="E1692" s="5">
        <v>99.38</v>
      </c>
    </row>
    <row r="1693" spans="1:5">
      <c r="A1693" s="4" t="str">
        <f>"20228021513"</f>
        <v>20228021513</v>
      </c>
      <c r="B1693" s="4" t="str">
        <f t="shared" si="28"/>
        <v>20220307</v>
      </c>
      <c r="C1693" s="5">
        <v>0</v>
      </c>
      <c r="D1693" s="5">
        <v>0</v>
      </c>
      <c r="E1693" s="5">
        <v>0</v>
      </c>
    </row>
    <row r="1694" spans="1:5">
      <c r="A1694" s="4" t="str">
        <f>"20228021514"</f>
        <v>20228021514</v>
      </c>
      <c r="B1694" s="4" t="str">
        <f t="shared" si="28"/>
        <v>20220307</v>
      </c>
      <c r="C1694" s="5">
        <v>67.9</v>
      </c>
      <c r="D1694" s="5">
        <v>77.8</v>
      </c>
      <c r="E1694" s="5">
        <v>73.84</v>
      </c>
    </row>
    <row r="1695" spans="1:5">
      <c r="A1695" s="4" t="str">
        <f>"20228021515"</f>
        <v>20228021515</v>
      </c>
      <c r="B1695" s="4" t="str">
        <f t="shared" si="28"/>
        <v>20220307</v>
      </c>
      <c r="C1695" s="5">
        <v>90.1</v>
      </c>
      <c r="D1695" s="5">
        <v>105.8</v>
      </c>
      <c r="E1695" s="5">
        <v>99.52</v>
      </c>
    </row>
    <row r="1696" spans="1:5">
      <c r="A1696" s="4" t="str">
        <f>"20228021516"</f>
        <v>20228021516</v>
      </c>
      <c r="B1696" s="4" t="str">
        <f t="shared" si="28"/>
        <v>20220307</v>
      </c>
      <c r="C1696" s="5">
        <v>0</v>
      </c>
      <c r="D1696" s="5">
        <v>100.7</v>
      </c>
      <c r="E1696" s="5">
        <v>60.42</v>
      </c>
    </row>
    <row r="1697" spans="1:5">
      <c r="A1697" s="4" t="str">
        <f>"20228021517"</f>
        <v>20228021517</v>
      </c>
      <c r="B1697" s="4" t="str">
        <f t="shared" si="28"/>
        <v>20220307</v>
      </c>
      <c r="C1697" s="5">
        <v>91.1</v>
      </c>
      <c r="D1697" s="5">
        <v>102.3</v>
      </c>
      <c r="E1697" s="5">
        <v>97.82</v>
      </c>
    </row>
    <row r="1698" spans="1:5">
      <c r="A1698" s="4" t="str">
        <f>"20228021518"</f>
        <v>20228021518</v>
      </c>
      <c r="B1698" s="4" t="str">
        <f t="shared" si="28"/>
        <v>20220307</v>
      </c>
      <c r="C1698" s="5">
        <v>0</v>
      </c>
      <c r="D1698" s="5">
        <v>0</v>
      </c>
      <c r="E1698" s="5">
        <v>0</v>
      </c>
    </row>
    <row r="1699" spans="1:5">
      <c r="A1699" s="4" t="str">
        <f>"20228021519"</f>
        <v>20228021519</v>
      </c>
      <c r="B1699" s="4" t="str">
        <f t="shared" si="28"/>
        <v>20220307</v>
      </c>
      <c r="C1699" s="5">
        <v>97.3</v>
      </c>
      <c r="D1699" s="5">
        <v>97.1</v>
      </c>
      <c r="E1699" s="5">
        <v>97.18</v>
      </c>
    </row>
    <row r="1700" spans="1:5">
      <c r="A1700" s="4" t="str">
        <f>"20228021520"</f>
        <v>20228021520</v>
      </c>
      <c r="B1700" s="4" t="str">
        <f t="shared" si="28"/>
        <v>20220307</v>
      </c>
      <c r="C1700" s="5">
        <v>96.9</v>
      </c>
      <c r="D1700" s="5">
        <v>99.5</v>
      </c>
      <c r="E1700" s="5">
        <v>98.46</v>
      </c>
    </row>
    <row r="1701" spans="1:5">
      <c r="A1701" s="4" t="str">
        <f>"20228021521"</f>
        <v>20228021521</v>
      </c>
      <c r="B1701" s="4" t="str">
        <f t="shared" si="28"/>
        <v>20220307</v>
      </c>
      <c r="C1701" s="5">
        <v>91.6</v>
      </c>
      <c r="D1701" s="5">
        <v>90.9</v>
      </c>
      <c r="E1701" s="5">
        <v>91.18</v>
      </c>
    </row>
    <row r="1702" spans="1:5">
      <c r="A1702" s="4" t="str">
        <f>"20228021522"</f>
        <v>20228021522</v>
      </c>
      <c r="B1702" s="4" t="str">
        <f t="shared" si="28"/>
        <v>20220307</v>
      </c>
      <c r="C1702" s="5">
        <v>86.2</v>
      </c>
      <c r="D1702" s="5">
        <v>105.7</v>
      </c>
      <c r="E1702" s="5">
        <v>97.9</v>
      </c>
    </row>
    <row r="1703" spans="1:5">
      <c r="A1703" s="4" t="str">
        <f>"20228021523"</f>
        <v>20228021523</v>
      </c>
      <c r="B1703" s="4" t="str">
        <f t="shared" si="28"/>
        <v>20220307</v>
      </c>
      <c r="C1703" s="5">
        <v>86.3</v>
      </c>
      <c r="D1703" s="5">
        <v>95.6</v>
      </c>
      <c r="E1703" s="5">
        <v>91.88</v>
      </c>
    </row>
    <row r="1704" spans="1:5">
      <c r="A1704" s="4" t="str">
        <f>"20228021524"</f>
        <v>20228021524</v>
      </c>
      <c r="B1704" s="4" t="str">
        <f t="shared" si="28"/>
        <v>20220307</v>
      </c>
      <c r="C1704" s="5">
        <v>98.4</v>
      </c>
      <c r="D1704" s="5">
        <v>96.6</v>
      </c>
      <c r="E1704" s="5">
        <v>97.32</v>
      </c>
    </row>
    <row r="1705" spans="1:5">
      <c r="A1705" s="4" t="str">
        <f>"20228021525"</f>
        <v>20228021525</v>
      </c>
      <c r="B1705" s="4" t="str">
        <f t="shared" si="28"/>
        <v>20220307</v>
      </c>
      <c r="C1705" s="5">
        <v>95.9</v>
      </c>
      <c r="D1705" s="5">
        <v>106.4</v>
      </c>
      <c r="E1705" s="5">
        <v>102.2</v>
      </c>
    </row>
    <row r="1706" spans="1:5">
      <c r="A1706" s="4" t="str">
        <f>"20228021526"</f>
        <v>20228021526</v>
      </c>
      <c r="B1706" s="4" t="str">
        <f t="shared" si="28"/>
        <v>20220307</v>
      </c>
      <c r="C1706" s="5">
        <v>70.2</v>
      </c>
      <c r="D1706" s="5">
        <v>85</v>
      </c>
      <c r="E1706" s="5">
        <v>79.08</v>
      </c>
    </row>
    <row r="1707" spans="1:5">
      <c r="A1707" s="4" t="str">
        <f>"20228021527"</f>
        <v>20228021527</v>
      </c>
      <c r="B1707" s="4" t="str">
        <f t="shared" si="28"/>
        <v>20220307</v>
      </c>
      <c r="C1707" s="5">
        <v>75.9</v>
      </c>
      <c r="D1707" s="5">
        <v>83.1</v>
      </c>
      <c r="E1707" s="5">
        <v>80.22</v>
      </c>
    </row>
    <row r="1708" spans="1:5">
      <c r="A1708" s="4" t="str">
        <f>"20228021528"</f>
        <v>20228021528</v>
      </c>
      <c r="B1708" s="4" t="str">
        <f t="shared" si="28"/>
        <v>20220307</v>
      </c>
      <c r="C1708" s="5">
        <v>79.4</v>
      </c>
      <c r="D1708" s="5">
        <v>90.3</v>
      </c>
      <c r="E1708" s="5">
        <v>85.94</v>
      </c>
    </row>
    <row r="1709" spans="1:5">
      <c r="A1709" s="4" t="str">
        <f>"20228021529"</f>
        <v>20228021529</v>
      </c>
      <c r="B1709" s="4" t="str">
        <f t="shared" si="28"/>
        <v>20220307</v>
      </c>
      <c r="C1709" s="5">
        <v>92.6</v>
      </c>
      <c r="D1709" s="5">
        <v>104.5</v>
      </c>
      <c r="E1709" s="5">
        <v>99.74</v>
      </c>
    </row>
    <row r="1710" spans="1:5">
      <c r="A1710" s="4" t="str">
        <f>"20228021530"</f>
        <v>20228021530</v>
      </c>
      <c r="B1710" s="4" t="str">
        <f t="shared" si="28"/>
        <v>20220307</v>
      </c>
      <c r="C1710" s="5">
        <v>80.4</v>
      </c>
      <c r="D1710" s="5">
        <v>92.9</v>
      </c>
      <c r="E1710" s="5">
        <v>87.9</v>
      </c>
    </row>
    <row r="1711" spans="1:5">
      <c r="A1711" s="4" t="str">
        <f>"20228021601"</f>
        <v>20228021601</v>
      </c>
      <c r="B1711" s="4" t="str">
        <f t="shared" si="28"/>
        <v>20220307</v>
      </c>
      <c r="C1711" s="5">
        <v>89.6</v>
      </c>
      <c r="D1711" s="5">
        <v>95</v>
      </c>
      <c r="E1711" s="5">
        <v>92.84</v>
      </c>
    </row>
    <row r="1712" spans="1:5">
      <c r="A1712" s="4" t="str">
        <f>"20228021602"</f>
        <v>20228021602</v>
      </c>
      <c r="B1712" s="4" t="str">
        <f t="shared" si="28"/>
        <v>20220307</v>
      </c>
      <c r="C1712" s="5">
        <v>69.6</v>
      </c>
      <c r="D1712" s="5">
        <v>55.8</v>
      </c>
      <c r="E1712" s="5">
        <v>61.32</v>
      </c>
    </row>
    <row r="1713" spans="1:5">
      <c r="A1713" s="4" t="str">
        <f>"20228021603"</f>
        <v>20228021603</v>
      </c>
      <c r="B1713" s="4" t="str">
        <f t="shared" si="28"/>
        <v>20220307</v>
      </c>
      <c r="C1713" s="5">
        <v>72.3</v>
      </c>
      <c r="D1713" s="5">
        <v>84.3</v>
      </c>
      <c r="E1713" s="5">
        <v>79.5</v>
      </c>
    </row>
    <row r="1714" spans="1:5">
      <c r="A1714" s="4" t="str">
        <f>"20228021604"</f>
        <v>20228021604</v>
      </c>
      <c r="B1714" s="4" t="str">
        <f t="shared" si="28"/>
        <v>20220307</v>
      </c>
      <c r="C1714" s="5">
        <v>0</v>
      </c>
      <c r="D1714" s="5">
        <v>0</v>
      </c>
      <c r="E1714" s="5">
        <v>0</v>
      </c>
    </row>
    <row r="1715" spans="1:5">
      <c r="A1715" s="4" t="str">
        <f>"20228021605"</f>
        <v>20228021605</v>
      </c>
      <c r="B1715" s="4" t="str">
        <f t="shared" si="28"/>
        <v>20220307</v>
      </c>
      <c r="C1715" s="5">
        <v>0</v>
      </c>
      <c r="D1715" s="5">
        <v>0</v>
      </c>
      <c r="E1715" s="5">
        <v>0</v>
      </c>
    </row>
    <row r="1716" spans="1:5">
      <c r="A1716" s="4" t="str">
        <f>"20228021606"</f>
        <v>20228021606</v>
      </c>
      <c r="B1716" s="4" t="str">
        <f t="shared" si="28"/>
        <v>20220307</v>
      </c>
      <c r="C1716" s="5">
        <v>0</v>
      </c>
      <c r="D1716" s="5">
        <v>0</v>
      </c>
      <c r="E1716" s="5">
        <v>0</v>
      </c>
    </row>
    <row r="1717" spans="1:5">
      <c r="A1717" s="4" t="str">
        <f>"20228021607"</f>
        <v>20228021607</v>
      </c>
      <c r="B1717" s="4" t="str">
        <f t="shared" si="28"/>
        <v>20220307</v>
      </c>
      <c r="C1717" s="5">
        <v>73.2</v>
      </c>
      <c r="D1717" s="5">
        <v>75.5</v>
      </c>
      <c r="E1717" s="5">
        <v>74.58</v>
      </c>
    </row>
    <row r="1718" spans="1:5">
      <c r="A1718" s="4" t="str">
        <f>"20228021608"</f>
        <v>20228021608</v>
      </c>
      <c r="B1718" s="4" t="str">
        <f t="shared" si="28"/>
        <v>20220307</v>
      </c>
      <c r="C1718" s="5">
        <v>0</v>
      </c>
      <c r="D1718" s="5">
        <v>0</v>
      </c>
      <c r="E1718" s="5">
        <v>0</v>
      </c>
    </row>
    <row r="1719" spans="1:5">
      <c r="A1719" s="4" t="str">
        <f>"20228021609"</f>
        <v>20228021609</v>
      </c>
      <c r="B1719" s="4" t="str">
        <f t="shared" si="28"/>
        <v>20220307</v>
      </c>
      <c r="C1719" s="5">
        <v>0</v>
      </c>
      <c r="D1719" s="5">
        <v>0</v>
      </c>
      <c r="E1719" s="5">
        <v>0</v>
      </c>
    </row>
    <row r="1720" spans="1:5">
      <c r="A1720" s="4" t="str">
        <f>"20228021610"</f>
        <v>20228021610</v>
      </c>
      <c r="B1720" s="4" t="str">
        <f t="shared" si="28"/>
        <v>20220307</v>
      </c>
      <c r="C1720" s="5">
        <v>95.3</v>
      </c>
      <c r="D1720" s="5">
        <v>102.9</v>
      </c>
      <c r="E1720" s="5">
        <v>99.86</v>
      </c>
    </row>
    <row r="1721" spans="1:5">
      <c r="A1721" s="4" t="str">
        <f>"20228021611"</f>
        <v>20228021611</v>
      </c>
      <c r="B1721" s="4" t="str">
        <f t="shared" si="28"/>
        <v>20220307</v>
      </c>
      <c r="C1721" s="5">
        <v>74.7</v>
      </c>
      <c r="D1721" s="5">
        <v>76</v>
      </c>
      <c r="E1721" s="5">
        <v>75.48</v>
      </c>
    </row>
    <row r="1722" spans="1:5">
      <c r="A1722" s="4" t="str">
        <f>"20228021612"</f>
        <v>20228021612</v>
      </c>
      <c r="B1722" s="4" t="str">
        <f t="shared" si="28"/>
        <v>20220307</v>
      </c>
      <c r="C1722" s="5">
        <v>87.4</v>
      </c>
      <c r="D1722" s="5">
        <v>101.3</v>
      </c>
      <c r="E1722" s="5">
        <v>95.74</v>
      </c>
    </row>
    <row r="1723" spans="1:5">
      <c r="A1723" s="4" t="str">
        <f>"20228021613"</f>
        <v>20228021613</v>
      </c>
      <c r="B1723" s="4" t="str">
        <f t="shared" si="28"/>
        <v>20220307</v>
      </c>
      <c r="C1723" s="5">
        <v>0</v>
      </c>
      <c r="D1723" s="5">
        <v>0</v>
      </c>
      <c r="E1723" s="5">
        <v>0</v>
      </c>
    </row>
    <row r="1724" spans="1:5">
      <c r="A1724" s="4" t="str">
        <f>"20228021614"</f>
        <v>20228021614</v>
      </c>
      <c r="B1724" s="4" t="str">
        <f t="shared" ref="B1724:B1787" si="29">"20220307"</f>
        <v>20220307</v>
      </c>
      <c r="C1724" s="5">
        <v>97.2</v>
      </c>
      <c r="D1724" s="5">
        <v>100.5</v>
      </c>
      <c r="E1724" s="5">
        <v>99.18</v>
      </c>
    </row>
    <row r="1725" spans="1:5">
      <c r="A1725" s="4" t="str">
        <f>"20228021615"</f>
        <v>20228021615</v>
      </c>
      <c r="B1725" s="4" t="str">
        <f t="shared" si="29"/>
        <v>20220307</v>
      </c>
      <c r="C1725" s="5">
        <v>83.7</v>
      </c>
      <c r="D1725" s="5">
        <v>72.6</v>
      </c>
      <c r="E1725" s="5">
        <v>77.04</v>
      </c>
    </row>
    <row r="1726" spans="1:5">
      <c r="A1726" s="4" t="str">
        <f>"20228021616"</f>
        <v>20228021616</v>
      </c>
      <c r="B1726" s="4" t="str">
        <f t="shared" si="29"/>
        <v>20220307</v>
      </c>
      <c r="C1726" s="5">
        <v>0</v>
      </c>
      <c r="D1726" s="5">
        <v>0</v>
      </c>
      <c r="E1726" s="5">
        <v>0</v>
      </c>
    </row>
    <row r="1727" spans="1:5">
      <c r="A1727" s="4" t="str">
        <f>"20228021617"</f>
        <v>20228021617</v>
      </c>
      <c r="B1727" s="4" t="str">
        <f t="shared" si="29"/>
        <v>20220307</v>
      </c>
      <c r="C1727" s="5">
        <v>93.4</v>
      </c>
      <c r="D1727" s="5">
        <v>98.2</v>
      </c>
      <c r="E1727" s="5">
        <v>96.28</v>
      </c>
    </row>
    <row r="1728" spans="1:5">
      <c r="A1728" s="4" t="str">
        <f>"20228021618"</f>
        <v>20228021618</v>
      </c>
      <c r="B1728" s="4" t="str">
        <f t="shared" si="29"/>
        <v>20220307</v>
      </c>
      <c r="C1728" s="5">
        <v>77.1</v>
      </c>
      <c r="D1728" s="5">
        <v>88.6</v>
      </c>
      <c r="E1728" s="5">
        <v>84</v>
      </c>
    </row>
    <row r="1729" spans="1:5">
      <c r="A1729" s="4" t="str">
        <f>"20228021619"</f>
        <v>20228021619</v>
      </c>
      <c r="B1729" s="4" t="str">
        <f t="shared" si="29"/>
        <v>20220307</v>
      </c>
      <c r="C1729" s="5">
        <v>0</v>
      </c>
      <c r="D1729" s="5">
        <v>0</v>
      </c>
      <c r="E1729" s="5">
        <v>0</v>
      </c>
    </row>
    <row r="1730" spans="1:5">
      <c r="A1730" s="4" t="str">
        <f>"20228021620"</f>
        <v>20228021620</v>
      </c>
      <c r="B1730" s="4" t="str">
        <f t="shared" si="29"/>
        <v>20220307</v>
      </c>
      <c r="C1730" s="5">
        <v>77.9</v>
      </c>
      <c r="D1730" s="5">
        <v>72</v>
      </c>
      <c r="E1730" s="5">
        <v>74.36</v>
      </c>
    </row>
    <row r="1731" spans="1:5">
      <c r="A1731" s="4" t="str">
        <f>"20228021621"</f>
        <v>20228021621</v>
      </c>
      <c r="B1731" s="4" t="str">
        <f t="shared" si="29"/>
        <v>20220307</v>
      </c>
      <c r="C1731" s="5">
        <v>91.1</v>
      </c>
      <c r="D1731" s="5">
        <v>104.9</v>
      </c>
      <c r="E1731" s="5">
        <v>99.38</v>
      </c>
    </row>
    <row r="1732" spans="1:5">
      <c r="A1732" s="4" t="str">
        <f>"20228021622"</f>
        <v>20228021622</v>
      </c>
      <c r="B1732" s="4" t="str">
        <f t="shared" si="29"/>
        <v>20220307</v>
      </c>
      <c r="C1732" s="5">
        <v>0</v>
      </c>
      <c r="D1732" s="5">
        <v>0</v>
      </c>
      <c r="E1732" s="5">
        <v>0</v>
      </c>
    </row>
    <row r="1733" spans="1:5">
      <c r="A1733" s="4" t="str">
        <f>"20228021623"</f>
        <v>20228021623</v>
      </c>
      <c r="B1733" s="4" t="str">
        <f t="shared" si="29"/>
        <v>20220307</v>
      </c>
      <c r="C1733" s="5">
        <v>0</v>
      </c>
      <c r="D1733" s="5">
        <v>0</v>
      </c>
      <c r="E1733" s="5">
        <v>0</v>
      </c>
    </row>
    <row r="1734" spans="1:5">
      <c r="A1734" s="4" t="str">
        <f>"20228021624"</f>
        <v>20228021624</v>
      </c>
      <c r="B1734" s="4" t="str">
        <f t="shared" si="29"/>
        <v>20220307</v>
      </c>
      <c r="C1734" s="5">
        <v>70.1</v>
      </c>
      <c r="D1734" s="5">
        <v>70.6</v>
      </c>
      <c r="E1734" s="5">
        <v>70.4</v>
      </c>
    </row>
    <row r="1735" spans="1:5">
      <c r="A1735" s="4" t="str">
        <f>"20228021625"</f>
        <v>20228021625</v>
      </c>
      <c r="B1735" s="4" t="str">
        <f t="shared" si="29"/>
        <v>20220307</v>
      </c>
      <c r="C1735" s="5">
        <v>82.7</v>
      </c>
      <c r="D1735" s="5">
        <v>78.8</v>
      </c>
      <c r="E1735" s="5">
        <v>80.36</v>
      </c>
    </row>
    <row r="1736" spans="1:5">
      <c r="A1736" s="4" t="str">
        <f>"20228021626"</f>
        <v>20228021626</v>
      </c>
      <c r="B1736" s="4" t="str">
        <f t="shared" si="29"/>
        <v>20220307</v>
      </c>
      <c r="C1736" s="5">
        <v>97.7</v>
      </c>
      <c r="D1736" s="5">
        <v>99.5</v>
      </c>
      <c r="E1736" s="5">
        <v>98.78</v>
      </c>
    </row>
    <row r="1737" spans="1:5">
      <c r="A1737" s="4" t="str">
        <f>"20228021627"</f>
        <v>20228021627</v>
      </c>
      <c r="B1737" s="4" t="str">
        <f t="shared" si="29"/>
        <v>20220307</v>
      </c>
      <c r="C1737" s="5">
        <v>0</v>
      </c>
      <c r="D1737" s="5">
        <v>0</v>
      </c>
      <c r="E1737" s="5">
        <v>0</v>
      </c>
    </row>
    <row r="1738" spans="1:5">
      <c r="A1738" s="4" t="str">
        <f>"20228021628"</f>
        <v>20228021628</v>
      </c>
      <c r="B1738" s="4" t="str">
        <f t="shared" si="29"/>
        <v>20220307</v>
      </c>
      <c r="C1738" s="5">
        <v>88.5</v>
      </c>
      <c r="D1738" s="5">
        <v>99.9</v>
      </c>
      <c r="E1738" s="5">
        <v>95.34</v>
      </c>
    </row>
    <row r="1739" spans="1:5">
      <c r="A1739" s="4" t="str">
        <f>"20228021629"</f>
        <v>20228021629</v>
      </c>
      <c r="B1739" s="4" t="str">
        <f t="shared" si="29"/>
        <v>20220307</v>
      </c>
      <c r="C1739" s="5">
        <v>100.4</v>
      </c>
      <c r="D1739" s="5">
        <v>103.8</v>
      </c>
      <c r="E1739" s="5">
        <v>102.44</v>
      </c>
    </row>
    <row r="1740" spans="1:5">
      <c r="A1740" s="4" t="str">
        <f>"20228021630"</f>
        <v>20228021630</v>
      </c>
      <c r="B1740" s="4" t="str">
        <f t="shared" si="29"/>
        <v>20220307</v>
      </c>
      <c r="C1740" s="5">
        <v>0</v>
      </c>
      <c r="D1740" s="5">
        <v>0</v>
      </c>
      <c r="E1740" s="5">
        <v>0</v>
      </c>
    </row>
    <row r="1741" spans="1:5">
      <c r="A1741" s="4" t="str">
        <f>"20228021701"</f>
        <v>20228021701</v>
      </c>
      <c r="B1741" s="4" t="str">
        <f t="shared" si="29"/>
        <v>20220307</v>
      </c>
      <c r="C1741" s="5">
        <v>0</v>
      </c>
      <c r="D1741" s="5">
        <v>0</v>
      </c>
      <c r="E1741" s="5">
        <v>0</v>
      </c>
    </row>
    <row r="1742" spans="1:5">
      <c r="A1742" s="4" t="str">
        <f>"20228021702"</f>
        <v>20228021702</v>
      </c>
      <c r="B1742" s="4" t="str">
        <f t="shared" si="29"/>
        <v>20220307</v>
      </c>
      <c r="C1742" s="5">
        <v>94.7</v>
      </c>
      <c r="D1742" s="5">
        <v>97.1</v>
      </c>
      <c r="E1742" s="5">
        <v>96.14</v>
      </c>
    </row>
    <row r="1743" spans="1:5">
      <c r="A1743" s="4" t="str">
        <f>"20228021703"</f>
        <v>20228021703</v>
      </c>
      <c r="B1743" s="4" t="str">
        <f t="shared" si="29"/>
        <v>20220307</v>
      </c>
      <c r="C1743" s="5">
        <v>0</v>
      </c>
      <c r="D1743" s="5">
        <v>78.3</v>
      </c>
      <c r="E1743" s="5">
        <v>46.98</v>
      </c>
    </row>
    <row r="1744" spans="1:5">
      <c r="A1744" s="4" t="str">
        <f>"20228021704"</f>
        <v>20228021704</v>
      </c>
      <c r="B1744" s="4" t="str">
        <f t="shared" si="29"/>
        <v>20220307</v>
      </c>
      <c r="C1744" s="5">
        <v>0</v>
      </c>
      <c r="D1744" s="5">
        <v>0</v>
      </c>
      <c r="E1744" s="5">
        <v>0</v>
      </c>
    </row>
    <row r="1745" spans="1:5">
      <c r="A1745" s="4" t="str">
        <f>"20228021705"</f>
        <v>20228021705</v>
      </c>
      <c r="B1745" s="4" t="str">
        <f t="shared" si="29"/>
        <v>20220307</v>
      </c>
      <c r="C1745" s="5">
        <v>95.6</v>
      </c>
      <c r="D1745" s="5">
        <v>105.6</v>
      </c>
      <c r="E1745" s="5">
        <v>101.6</v>
      </c>
    </row>
    <row r="1746" spans="1:5">
      <c r="A1746" s="4" t="str">
        <f>"20228021706"</f>
        <v>20228021706</v>
      </c>
      <c r="B1746" s="4" t="str">
        <f t="shared" si="29"/>
        <v>20220307</v>
      </c>
      <c r="C1746" s="5">
        <v>0</v>
      </c>
      <c r="D1746" s="5">
        <v>0</v>
      </c>
      <c r="E1746" s="5">
        <v>0</v>
      </c>
    </row>
    <row r="1747" spans="1:5">
      <c r="A1747" s="4" t="str">
        <f>"20228021707"</f>
        <v>20228021707</v>
      </c>
      <c r="B1747" s="4" t="str">
        <f t="shared" si="29"/>
        <v>20220307</v>
      </c>
      <c r="C1747" s="5">
        <v>85.4</v>
      </c>
      <c r="D1747" s="5">
        <v>101.9</v>
      </c>
      <c r="E1747" s="5">
        <v>95.3</v>
      </c>
    </row>
    <row r="1748" spans="1:5">
      <c r="A1748" s="4" t="str">
        <f>"20228021708"</f>
        <v>20228021708</v>
      </c>
      <c r="B1748" s="4" t="str">
        <f t="shared" si="29"/>
        <v>20220307</v>
      </c>
      <c r="C1748" s="5">
        <v>73.3</v>
      </c>
      <c r="D1748" s="5">
        <v>84.1</v>
      </c>
      <c r="E1748" s="5">
        <v>79.78</v>
      </c>
    </row>
    <row r="1749" spans="1:5">
      <c r="A1749" s="4" t="str">
        <f>"20228021709"</f>
        <v>20228021709</v>
      </c>
      <c r="B1749" s="4" t="str">
        <f t="shared" si="29"/>
        <v>20220307</v>
      </c>
      <c r="C1749" s="5">
        <v>98.4</v>
      </c>
      <c r="D1749" s="5">
        <v>97.4</v>
      </c>
      <c r="E1749" s="5">
        <v>97.8</v>
      </c>
    </row>
    <row r="1750" spans="1:5">
      <c r="A1750" s="4" t="str">
        <f>"20228021710"</f>
        <v>20228021710</v>
      </c>
      <c r="B1750" s="4" t="str">
        <f t="shared" si="29"/>
        <v>20220307</v>
      </c>
      <c r="C1750" s="5">
        <v>67.9</v>
      </c>
      <c r="D1750" s="5">
        <v>88.9</v>
      </c>
      <c r="E1750" s="5">
        <v>80.5</v>
      </c>
    </row>
    <row r="1751" spans="1:5">
      <c r="A1751" s="4" t="str">
        <f>"20228021711"</f>
        <v>20228021711</v>
      </c>
      <c r="B1751" s="4" t="str">
        <f t="shared" si="29"/>
        <v>20220307</v>
      </c>
      <c r="C1751" s="5">
        <v>0</v>
      </c>
      <c r="D1751" s="5">
        <v>0</v>
      </c>
      <c r="E1751" s="5">
        <v>0</v>
      </c>
    </row>
    <row r="1752" spans="1:5">
      <c r="A1752" s="4" t="str">
        <f>"20228021712"</f>
        <v>20228021712</v>
      </c>
      <c r="B1752" s="4" t="str">
        <f t="shared" si="29"/>
        <v>20220307</v>
      </c>
      <c r="C1752" s="5">
        <v>88.3</v>
      </c>
      <c r="D1752" s="5">
        <v>97.7</v>
      </c>
      <c r="E1752" s="5">
        <v>93.94</v>
      </c>
    </row>
    <row r="1753" spans="1:5">
      <c r="A1753" s="4" t="str">
        <f>"20228021713"</f>
        <v>20228021713</v>
      </c>
      <c r="B1753" s="4" t="str">
        <f t="shared" si="29"/>
        <v>20220307</v>
      </c>
      <c r="C1753" s="5">
        <v>92.6</v>
      </c>
      <c r="D1753" s="5">
        <v>98.7</v>
      </c>
      <c r="E1753" s="5">
        <v>96.26</v>
      </c>
    </row>
    <row r="1754" spans="1:5">
      <c r="A1754" s="4" t="str">
        <f>"20228021714"</f>
        <v>20228021714</v>
      </c>
      <c r="B1754" s="4" t="str">
        <f t="shared" si="29"/>
        <v>20220307</v>
      </c>
      <c r="C1754" s="5">
        <v>100.8</v>
      </c>
      <c r="D1754" s="5">
        <v>108</v>
      </c>
      <c r="E1754" s="5">
        <v>105.12</v>
      </c>
    </row>
    <row r="1755" spans="1:5">
      <c r="A1755" s="4" t="str">
        <f>"20228021715"</f>
        <v>20228021715</v>
      </c>
      <c r="B1755" s="4" t="str">
        <f t="shared" si="29"/>
        <v>20220307</v>
      </c>
      <c r="C1755" s="5">
        <v>82.2</v>
      </c>
      <c r="D1755" s="5">
        <v>84</v>
      </c>
      <c r="E1755" s="5">
        <v>83.28</v>
      </c>
    </row>
    <row r="1756" spans="1:5">
      <c r="A1756" s="4" t="str">
        <f>"20228021716"</f>
        <v>20228021716</v>
      </c>
      <c r="B1756" s="4" t="str">
        <f t="shared" si="29"/>
        <v>20220307</v>
      </c>
      <c r="C1756" s="5">
        <v>82.4</v>
      </c>
      <c r="D1756" s="5">
        <v>85.9</v>
      </c>
      <c r="E1756" s="5">
        <v>84.5</v>
      </c>
    </row>
    <row r="1757" spans="1:5">
      <c r="A1757" s="4" t="str">
        <f>"20228021717"</f>
        <v>20228021717</v>
      </c>
      <c r="B1757" s="4" t="str">
        <f t="shared" si="29"/>
        <v>20220307</v>
      </c>
      <c r="C1757" s="5">
        <v>85.2</v>
      </c>
      <c r="D1757" s="5">
        <v>93.3</v>
      </c>
      <c r="E1757" s="5">
        <v>90.06</v>
      </c>
    </row>
    <row r="1758" spans="1:5">
      <c r="A1758" s="4" t="str">
        <f>"20228021718"</f>
        <v>20228021718</v>
      </c>
      <c r="B1758" s="4" t="str">
        <f t="shared" si="29"/>
        <v>20220307</v>
      </c>
      <c r="C1758" s="5">
        <v>0</v>
      </c>
      <c r="D1758" s="5">
        <v>0</v>
      </c>
      <c r="E1758" s="5">
        <v>0</v>
      </c>
    </row>
    <row r="1759" spans="1:5">
      <c r="A1759" s="4" t="str">
        <f>"20228021719"</f>
        <v>20228021719</v>
      </c>
      <c r="B1759" s="4" t="str">
        <f t="shared" si="29"/>
        <v>20220307</v>
      </c>
      <c r="C1759" s="5">
        <v>91.2</v>
      </c>
      <c r="D1759" s="5">
        <v>102.9</v>
      </c>
      <c r="E1759" s="5">
        <v>98.22</v>
      </c>
    </row>
    <row r="1760" spans="1:5">
      <c r="A1760" s="4" t="str">
        <f>"20228021720"</f>
        <v>20228021720</v>
      </c>
      <c r="B1760" s="4" t="str">
        <f t="shared" si="29"/>
        <v>20220307</v>
      </c>
      <c r="C1760" s="5">
        <v>105</v>
      </c>
      <c r="D1760" s="5">
        <v>107.2</v>
      </c>
      <c r="E1760" s="5">
        <v>106.32</v>
      </c>
    </row>
    <row r="1761" spans="1:5">
      <c r="A1761" s="4" t="str">
        <f>"20228021721"</f>
        <v>20228021721</v>
      </c>
      <c r="B1761" s="4" t="str">
        <f t="shared" si="29"/>
        <v>20220307</v>
      </c>
      <c r="C1761" s="5">
        <v>0</v>
      </c>
      <c r="D1761" s="5">
        <v>0</v>
      </c>
      <c r="E1761" s="5">
        <v>0</v>
      </c>
    </row>
    <row r="1762" spans="1:5">
      <c r="A1762" s="4" t="str">
        <f>"20228021722"</f>
        <v>20228021722</v>
      </c>
      <c r="B1762" s="4" t="str">
        <f t="shared" si="29"/>
        <v>20220307</v>
      </c>
      <c r="C1762" s="5">
        <v>69.7</v>
      </c>
      <c r="D1762" s="5">
        <v>73.4</v>
      </c>
      <c r="E1762" s="5">
        <v>71.92</v>
      </c>
    </row>
    <row r="1763" spans="1:5">
      <c r="A1763" s="4" t="str">
        <f>"20228021723"</f>
        <v>20228021723</v>
      </c>
      <c r="B1763" s="4" t="str">
        <f t="shared" si="29"/>
        <v>20220307</v>
      </c>
      <c r="C1763" s="5">
        <v>91</v>
      </c>
      <c r="D1763" s="5">
        <v>98.6</v>
      </c>
      <c r="E1763" s="5">
        <v>95.56</v>
      </c>
    </row>
    <row r="1764" spans="1:5">
      <c r="A1764" s="4" t="str">
        <f>"20228021724"</f>
        <v>20228021724</v>
      </c>
      <c r="B1764" s="4" t="str">
        <f t="shared" si="29"/>
        <v>20220307</v>
      </c>
      <c r="C1764" s="5">
        <v>0</v>
      </c>
      <c r="D1764" s="5">
        <v>0</v>
      </c>
      <c r="E1764" s="5">
        <v>0</v>
      </c>
    </row>
    <row r="1765" spans="1:5">
      <c r="A1765" s="4" t="str">
        <f>"20228021725"</f>
        <v>20228021725</v>
      </c>
      <c r="B1765" s="4" t="str">
        <f t="shared" si="29"/>
        <v>20220307</v>
      </c>
      <c r="C1765" s="5">
        <v>0</v>
      </c>
      <c r="D1765" s="5">
        <v>0</v>
      </c>
      <c r="E1765" s="5">
        <v>0</v>
      </c>
    </row>
    <row r="1766" spans="1:5">
      <c r="A1766" s="4" t="str">
        <f>"20228021726"</f>
        <v>20228021726</v>
      </c>
      <c r="B1766" s="4" t="str">
        <f t="shared" si="29"/>
        <v>20220307</v>
      </c>
      <c r="C1766" s="5">
        <v>0</v>
      </c>
      <c r="D1766" s="5">
        <v>61.5</v>
      </c>
      <c r="E1766" s="5">
        <v>36.9</v>
      </c>
    </row>
    <row r="1767" spans="1:5">
      <c r="A1767" s="4" t="str">
        <f>"20228021727"</f>
        <v>20228021727</v>
      </c>
      <c r="B1767" s="4" t="str">
        <f t="shared" si="29"/>
        <v>20220307</v>
      </c>
      <c r="C1767" s="5">
        <v>100.3</v>
      </c>
      <c r="D1767" s="5">
        <v>98.3</v>
      </c>
      <c r="E1767" s="5">
        <v>99.1</v>
      </c>
    </row>
    <row r="1768" spans="1:5">
      <c r="A1768" s="4" t="str">
        <f>"20228021728"</f>
        <v>20228021728</v>
      </c>
      <c r="B1768" s="4" t="str">
        <f t="shared" si="29"/>
        <v>20220307</v>
      </c>
      <c r="C1768" s="5">
        <v>89.7</v>
      </c>
      <c r="D1768" s="5">
        <v>99</v>
      </c>
      <c r="E1768" s="5">
        <v>95.28</v>
      </c>
    </row>
    <row r="1769" spans="1:5">
      <c r="A1769" s="4" t="str">
        <f>"20228021729"</f>
        <v>20228021729</v>
      </c>
      <c r="B1769" s="4" t="str">
        <f t="shared" si="29"/>
        <v>20220307</v>
      </c>
      <c r="C1769" s="5">
        <v>0</v>
      </c>
      <c r="D1769" s="5">
        <v>0</v>
      </c>
      <c r="E1769" s="5">
        <v>0</v>
      </c>
    </row>
    <row r="1770" spans="1:5">
      <c r="A1770" s="4" t="str">
        <f>"20228021730"</f>
        <v>20228021730</v>
      </c>
      <c r="B1770" s="4" t="str">
        <f t="shared" si="29"/>
        <v>20220307</v>
      </c>
      <c r="C1770" s="5">
        <v>89.4</v>
      </c>
      <c r="D1770" s="5">
        <v>99.2</v>
      </c>
      <c r="E1770" s="5">
        <v>95.28</v>
      </c>
    </row>
    <row r="1771" spans="1:5">
      <c r="A1771" s="4" t="str">
        <f>"20228021801"</f>
        <v>20228021801</v>
      </c>
      <c r="B1771" s="4" t="str">
        <f t="shared" si="29"/>
        <v>20220307</v>
      </c>
      <c r="C1771" s="5">
        <v>74.6</v>
      </c>
      <c r="D1771" s="5">
        <v>96.1</v>
      </c>
      <c r="E1771" s="5">
        <v>87.5</v>
      </c>
    </row>
    <row r="1772" spans="1:5">
      <c r="A1772" s="4" t="str">
        <f>"20228021802"</f>
        <v>20228021802</v>
      </c>
      <c r="B1772" s="4" t="str">
        <f t="shared" si="29"/>
        <v>20220307</v>
      </c>
      <c r="C1772" s="5">
        <v>78.4</v>
      </c>
      <c r="D1772" s="5">
        <v>93.5</v>
      </c>
      <c r="E1772" s="5">
        <v>87.46</v>
      </c>
    </row>
    <row r="1773" spans="1:5">
      <c r="A1773" s="4" t="str">
        <f>"20228021803"</f>
        <v>20228021803</v>
      </c>
      <c r="B1773" s="4" t="str">
        <f t="shared" si="29"/>
        <v>20220307</v>
      </c>
      <c r="C1773" s="5">
        <v>97.6</v>
      </c>
      <c r="D1773" s="5">
        <v>103.1</v>
      </c>
      <c r="E1773" s="5">
        <v>100.9</v>
      </c>
    </row>
    <row r="1774" spans="1:5">
      <c r="A1774" s="4" t="str">
        <f>"20228021804"</f>
        <v>20228021804</v>
      </c>
      <c r="B1774" s="4" t="str">
        <f t="shared" si="29"/>
        <v>20220307</v>
      </c>
      <c r="C1774" s="5">
        <v>100.2</v>
      </c>
      <c r="D1774" s="5">
        <v>94.7</v>
      </c>
      <c r="E1774" s="5">
        <v>96.9</v>
      </c>
    </row>
    <row r="1775" spans="1:5">
      <c r="A1775" s="4" t="str">
        <f>"20228021805"</f>
        <v>20228021805</v>
      </c>
      <c r="B1775" s="4" t="str">
        <f t="shared" si="29"/>
        <v>20220307</v>
      </c>
      <c r="C1775" s="5">
        <v>81.3</v>
      </c>
      <c r="D1775" s="5">
        <v>100.4</v>
      </c>
      <c r="E1775" s="5">
        <v>92.76</v>
      </c>
    </row>
    <row r="1776" spans="1:5">
      <c r="A1776" s="4" t="str">
        <f>"20228021806"</f>
        <v>20228021806</v>
      </c>
      <c r="B1776" s="4" t="str">
        <f t="shared" si="29"/>
        <v>20220307</v>
      </c>
      <c r="C1776" s="5">
        <v>0</v>
      </c>
      <c r="D1776" s="5">
        <v>0</v>
      </c>
      <c r="E1776" s="5">
        <v>0</v>
      </c>
    </row>
    <row r="1777" spans="1:5">
      <c r="A1777" s="4" t="str">
        <f>"20228021807"</f>
        <v>20228021807</v>
      </c>
      <c r="B1777" s="4" t="str">
        <f t="shared" si="29"/>
        <v>20220307</v>
      </c>
      <c r="C1777" s="5">
        <v>96.4</v>
      </c>
      <c r="D1777" s="5">
        <v>108.6</v>
      </c>
      <c r="E1777" s="5">
        <v>103.72</v>
      </c>
    </row>
    <row r="1778" spans="1:5">
      <c r="A1778" s="4" t="str">
        <f>"20228021808"</f>
        <v>20228021808</v>
      </c>
      <c r="B1778" s="4" t="str">
        <f t="shared" si="29"/>
        <v>20220307</v>
      </c>
      <c r="C1778" s="5">
        <v>69.9</v>
      </c>
      <c r="D1778" s="5">
        <v>83.3</v>
      </c>
      <c r="E1778" s="5">
        <v>77.94</v>
      </c>
    </row>
    <row r="1779" spans="1:5">
      <c r="A1779" s="4" t="str">
        <f>"20228021809"</f>
        <v>20228021809</v>
      </c>
      <c r="B1779" s="4" t="str">
        <f t="shared" si="29"/>
        <v>20220307</v>
      </c>
      <c r="C1779" s="5">
        <v>0</v>
      </c>
      <c r="D1779" s="5">
        <v>0</v>
      </c>
      <c r="E1779" s="5">
        <v>0</v>
      </c>
    </row>
    <row r="1780" spans="1:5">
      <c r="A1780" s="4" t="str">
        <f>"20228021810"</f>
        <v>20228021810</v>
      </c>
      <c r="B1780" s="4" t="str">
        <f t="shared" si="29"/>
        <v>20220307</v>
      </c>
      <c r="C1780" s="5">
        <v>89</v>
      </c>
      <c r="D1780" s="5">
        <v>100.3</v>
      </c>
      <c r="E1780" s="5">
        <v>95.78</v>
      </c>
    </row>
    <row r="1781" spans="1:5">
      <c r="A1781" s="4" t="str">
        <f>"20228021811"</f>
        <v>20228021811</v>
      </c>
      <c r="B1781" s="4" t="str">
        <f t="shared" si="29"/>
        <v>20220307</v>
      </c>
      <c r="C1781" s="5">
        <v>98.4</v>
      </c>
      <c r="D1781" s="5">
        <v>101</v>
      </c>
      <c r="E1781" s="5">
        <v>99.96</v>
      </c>
    </row>
    <row r="1782" spans="1:5">
      <c r="A1782" s="4" t="str">
        <f>"20228021812"</f>
        <v>20228021812</v>
      </c>
      <c r="B1782" s="4" t="str">
        <f t="shared" si="29"/>
        <v>20220307</v>
      </c>
      <c r="C1782" s="5">
        <v>98.3</v>
      </c>
      <c r="D1782" s="5">
        <v>105.2</v>
      </c>
      <c r="E1782" s="5">
        <v>102.44</v>
      </c>
    </row>
    <row r="1783" spans="1:5">
      <c r="A1783" s="4" t="str">
        <f>"20228021813"</f>
        <v>20228021813</v>
      </c>
      <c r="B1783" s="4" t="str">
        <f t="shared" si="29"/>
        <v>20220307</v>
      </c>
      <c r="C1783" s="5">
        <v>97</v>
      </c>
      <c r="D1783" s="5">
        <v>97.4</v>
      </c>
      <c r="E1783" s="5">
        <v>97.24</v>
      </c>
    </row>
    <row r="1784" spans="1:5">
      <c r="A1784" s="4" t="str">
        <f>"20228021814"</f>
        <v>20228021814</v>
      </c>
      <c r="B1784" s="4" t="str">
        <f t="shared" si="29"/>
        <v>20220307</v>
      </c>
      <c r="C1784" s="5">
        <v>0</v>
      </c>
      <c r="D1784" s="5">
        <v>0</v>
      </c>
      <c r="E1784" s="5">
        <v>0</v>
      </c>
    </row>
    <row r="1785" spans="1:5">
      <c r="A1785" s="4" t="str">
        <f>"20228021815"</f>
        <v>20228021815</v>
      </c>
      <c r="B1785" s="4" t="str">
        <f t="shared" si="29"/>
        <v>20220307</v>
      </c>
      <c r="C1785" s="5">
        <v>99</v>
      </c>
      <c r="D1785" s="5">
        <v>106.9</v>
      </c>
      <c r="E1785" s="5">
        <v>103.74</v>
      </c>
    </row>
    <row r="1786" spans="1:5">
      <c r="A1786" s="4" t="str">
        <f>"20228021816"</f>
        <v>20228021816</v>
      </c>
      <c r="B1786" s="4" t="str">
        <f t="shared" si="29"/>
        <v>20220307</v>
      </c>
      <c r="C1786" s="5">
        <v>101</v>
      </c>
      <c r="D1786" s="5">
        <v>99.5</v>
      </c>
      <c r="E1786" s="5">
        <v>100.1</v>
      </c>
    </row>
    <row r="1787" spans="1:5">
      <c r="A1787" s="4" t="str">
        <f>"20228021817"</f>
        <v>20228021817</v>
      </c>
      <c r="B1787" s="4" t="str">
        <f t="shared" si="29"/>
        <v>20220307</v>
      </c>
      <c r="C1787" s="5">
        <v>0</v>
      </c>
      <c r="D1787" s="5">
        <v>0</v>
      </c>
      <c r="E1787" s="5">
        <v>0</v>
      </c>
    </row>
    <row r="1788" spans="1:5">
      <c r="A1788" s="4" t="str">
        <f>"20228021818"</f>
        <v>20228021818</v>
      </c>
      <c r="B1788" s="4" t="str">
        <f t="shared" ref="B1788:B1851" si="30">"20220307"</f>
        <v>20220307</v>
      </c>
      <c r="C1788" s="5">
        <v>82.9</v>
      </c>
      <c r="D1788" s="5">
        <v>103.7</v>
      </c>
      <c r="E1788" s="5">
        <v>95.38</v>
      </c>
    </row>
    <row r="1789" spans="1:5">
      <c r="A1789" s="4" t="str">
        <f>"20228021819"</f>
        <v>20228021819</v>
      </c>
      <c r="B1789" s="4" t="str">
        <f t="shared" si="30"/>
        <v>20220307</v>
      </c>
      <c r="C1789" s="5">
        <v>94.7</v>
      </c>
      <c r="D1789" s="5">
        <v>106.2</v>
      </c>
      <c r="E1789" s="5">
        <v>101.6</v>
      </c>
    </row>
    <row r="1790" spans="1:5">
      <c r="A1790" s="4" t="str">
        <f>"20228021820"</f>
        <v>20228021820</v>
      </c>
      <c r="B1790" s="4" t="str">
        <f t="shared" si="30"/>
        <v>20220307</v>
      </c>
      <c r="C1790" s="5">
        <v>97</v>
      </c>
      <c r="D1790" s="5">
        <v>109.7</v>
      </c>
      <c r="E1790" s="5">
        <v>104.62</v>
      </c>
    </row>
    <row r="1791" spans="1:5">
      <c r="A1791" s="4" t="str">
        <f>"20228021821"</f>
        <v>20228021821</v>
      </c>
      <c r="B1791" s="4" t="str">
        <f t="shared" si="30"/>
        <v>20220307</v>
      </c>
      <c r="C1791" s="5">
        <v>0</v>
      </c>
      <c r="D1791" s="5">
        <v>0</v>
      </c>
      <c r="E1791" s="5">
        <v>0</v>
      </c>
    </row>
    <row r="1792" spans="1:5">
      <c r="A1792" s="4" t="str">
        <f>"20228021822"</f>
        <v>20228021822</v>
      </c>
      <c r="B1792" s="4" t="str">
        <f t="shared" si="30"/>
        <v>20220307</v>
      </c>
      <c r="C1792" s="5">
        <v>0</v>
      </c>
      <c r="D1792" s="5">
        <v>0</v>
      </c>
      <c r="E1792" s="5">
        <v>0</v>
      </c>
    </row>
    <row r="1793" spans="1:5">
      <c r="A1793" s="4" t="str">
        <f>"20228021823"</f>
        <v>20228021823</v>
      </c>
      <c r="B1793" s="4" t="str">
        <f t="shared" si="30"/>
        <v>20220307</v>
      </c>
      <c r="C1793" s="5">
        <v>0</v>
      </c>
      <c r="D1793" s="5">
        <v>0</v>
      </c>
      <c r="E1793" s="5">
        <v>0</v>
      </c>
    </row>
    <row r="1794" spans="1:5">
      <c r="A1794" s="4" t="str">
        <f>"20228021824"</f>
        <v>20228021824</v>
      </c>
      <c r="B1794" s="4" t="str">
        <f t="shared" si="30"/>
        <v>20220307</v>
      </c>
      <c r="C1794" s="5">
        <v>89.3</v>
      </c>
      <c r="D1794" s="5">
        <v>100.1</v>
      </c>
      <c r="E1794" s="5">
        <v>95.78</v>
      </c>
    </row>
    <row r="1795" spans="1:5">
      <c r="A1795" s="4" t="str">
        <f>"20228021825"</f>
        <v>20228021825</v>
      </c>
      <c r="B1795" s="4" t="str">
        <f t="shared" si="30"/>
        <v>20220307</v>
      </c>
      <c r="C1795" s="5">
        <v>52</v>
      </c>
      <c r="D1795" s="5">
        <v>58.7</v>
      </c>
      <c r="E1795" s="5">
        <v>56.02</v>
      </c>
    </row>
    <row r="1796" spans="1:5">
      <c r="A1796" s="4" t="str">
        <f>"20228021826"</f>
        <v>20228021826</v>
      </c>
      <c r="B1796" s="4" t="str">
        <f t="shared" si="30"/>
        <v>20220307</v>
      </c>
      <c r="C1796" s="5">
        <v>77</v>
      </c>
      <c r="D1796" s="5">
        <v>68.4</v>
      </c>
      <c r="E1796" s="5">
        <v>71.84</v>
      </c>
    </row>
    <row r="1797" spans="1:5">
      <c r="A1797" s="4" t="str">
        <f>"20228021827"</f>
        <v>20228021827</v>
      </c>
      <c r="B1797" s="4" t="str">
        <f t="shared" si="30"/>
        <v>20220307</v>
      </c>
      <c r="C1797" s="5">
        <v>99.3</v>
      </c>
      <c r="D1797" s="5">
        <v>99.1</v>
      </c>
      <c r="E1797" s="5">
        <v>99.18</v>
      </c>
    </row>
    <row r="1798" spans="1:5">
      <c r="A1798" s="4" t="str">
        <f>"20228021828"</f>
        <v>20228021828</v>
      </c>
      <c r="B1798" s="4" t="str">
        <f t="shared" si="30"/>
        <v>20220307</v>
      </c>
      <c r="C1798" s="5">
        <v>0</v>
      </c>
      <c r="D1798" s="5">
        <v>43.3</v>
      </c>
      <c r="E1798" s="5">
        <v>25.98</v>
      </c>
    </row>
    <row r="1799" spans="1:5">
      <c r="A1799" s="4" t="str">
        <f>"20228021829"</f>
        <v>20228021829</v>
      </c>
      <c r="B1799" s="4" t="str">
        <f t="shared" si="30"/>
        <v>20220307</v>
      </c>
      <c r="C1799" s="5">
        <v>87.5</v>
      </c>
      <c r="D1799" s="5">
        <v>82.2</v>
      </c>
      <c r="E1799" s="5">
        <v>84.32</v>
      </c>
    </row>
    <row r="1800" spans="1:5">
      <c r="A1800" s="4" t="str">
        <f>"20228021830"</f>
        <v>20228021830</v>
      </c>
      <c r="B1800" s="4" t="str">
        <f t="shared" si="30"/>
        <v>20220307</v>
      </c>
      <c r="C1800" s="5">
        <v>0</v>
      </c>
      <c r="D1800" s="5">
        <v>0</v>
      </c>
      <c r="E1800" s="5">
        <v>0</v>
      </c>
    </row>
    <row r="1801" spans="1:5">
      <c r="A1801" s="4" t="str">
        <f>"20228021901"</f>
        <v>20228021901</v>
      </c>
      <c r="B1801" s="4" t="str">
        <f t="shared" si="30"/>
        <v>20220307</v>
      </c>
      <c r="C1801" s="5">
        <v>0</v>
      </c>
      <c r="D1801" s="5">
        <v>0</v>
      </c>
      <c r="E1801" s="5">
        <v>0</v>
      </c>
    </row>
    <row r="1802" spans="1:5">
      <c r="A1802" s="4" t="str">
        <f>"20228021902"</f>
        <v>20228021902</v>
      </c>
      <c r="B1802" s="4" t="str">
        <f t="shared" si="30"/>
        <v>20220307</v>
      </c>
      <c r="C1802" s="5">
        <v>89.2</v>
      </c>
      <c r="D1802" s="5">
        <v>104.1</v>
      </c>
      <c r="E1802" s="5">
        <v>98.14</v>
      </c>
    </row>
    <row r="1803" spans="1:5">
      <c r="A1803" s="4" t="str">
        <f>"20228021903"</f>
        <v>20228021903</v>
      </c>
      <c r="B1803" s="4" t="str">
        <f t="shared" si="30"/>
        <v>20220307</v>
      </c>
      <c r="C1803" s="5">
        <v>71.8</v>
      </c>
      <c r="D1803" s="5">
        <v>78.7</v>
      </c>
      <c r="E1803" s="5">
        <v>75.94</v>
      </c>
    </row>
    <row r="1804" spans="1:5">
      <c r="A1804" s="4" t="str">
        <f>"20228021904"</f>
        <v>20228021904</v>
      </c>
      <c r="B1804" s="4" t="str">
        <f t="shared" si="30"/>
        <v>20220307</v>
      </c>
      <c r="C1804" s="5">
        <v>74.8</v>
      </c>
      <c r="D1804" s="5">
        <v>60.8</v>
      </c>
      <c r="E1804" s="5">
        <v>66.4</v>
      </c>
    </row>
    <row r="1805" spans="1:5">
      <c r="A1805" s="4" t="str">
        <f>"20228021905"</f>
        <v>20228021905</v>
      </c>
      <c r="B1805" s="4" t="str">
        <f t="shared" si="30"/>
        <v>20220307</v>
      </c>
      <c r="C1805" s="5">
        <v>0</v>
      </c>
      <c r="D1805" s="5">
        <v>0</v>
      </c>
      <c r="E1805" s="5">
        <v>0</v>
      </c>
    </row>
    <row r="1806" spans="1:5">
      <c r="A1806" s="4" t="str">
        <f>"20228021906"</f>
        <v>20228021906</v>
      </c>
      <c r="B1806" s="4" t="str">
        <f t="shared" si="30"/>
        <v>20220307</v>
      </c>
      <c r="C1806" s="5">
        <v>90.4</v>
      </c>
      <c r="D1806" s="5">
        <v>85.9</v>
      </c>
      <c r="E1806" s="5">
        <v>87.7</v>
      </c>
    </row>
    <row r="1807" spans="1:5">
      <c r="A1807" s="4" t="str">
        <f>"20228021907"</f>
        <v>20228021907</v>
      </c>
      <c r="B1807" s="4" t="str">
        <f t="shared" si="30"/>
        <v>20220307</v>
      </c>
      <c r="C1807" s="5">
        <v>85.6</v>
      </c>
      <c r="D1807" s="5">
        <v>96.1</v>
      </c>
      <c r="E1807" s="5">
        <v>91.9</v>
      </c>
    </row>
    <row r="1808" spans="1:5">
      <c r="A1808" s="4" t="str">
        <f>"20228021908"</f>
        <v>20228021908</v>
      </c>
      <c r="B1808" s="4" t="str">
        <f t="shared" si="30"/>
        <v>20220307</v>
      </c>
      <c r="C1808" s="5">
        <v>0</v>
      </c>
      <c r="D1808" s="5">
        <v>0</v>
      </c>
      <c r="E1808" s="5">
        <v>0</v>
      </c>
    </row>
    <row r="1809" spans="1:5">
      <c r="A1809" s="4" t="str">
        <f>"20228021909"</f>
        <v>20228021909</v>
      </c>
      <c r="B1809" s="4" t="str">
        <f t="shared" si="30"/>
        <v>20220307</v>
      </c>
      <c r="C1809" s="5">
        <v>73.9</v>
      </c>
      <c r="D1809" s="5">
        <v>63.2</v>
      </c>
      <c r="E1809" s="5">
        <v>67.48</v>
      </c>
    </row>
    <row r="1810" spans="1:5">
      <c r="A1810" s="4" t="str">
        <f>"20228021910"</f>
        <v>20228021910</v>
      </c>
      <c r="B1810" s="4" t="str">
        <f t="shared" si="30"/>
        <v>20220307</v>
      </c>
      <c r="C1810" s="5">
        <v>0</v>
      </c>
      <c r="D1810" s="5">
        <v>0</v>
      </c>
      <c r="E1810" s="5">
        <v>0</v>
      </c>
    </row>
    <row r="1811" spans="1:5">
      <c r="A1811" s="4" t="str">
        <f>"20228021911"</f>
        <v>20228021911</v>
      </c>
      <c r="B1811" s="4" t="str">
        <f t="shared" si="30"/>
        <v>20220307</v>
      </c>
      <c r="C1811" s="5">
        <v>0</v>
      </c>
      <c r="D1811" s="5">
        <v>0</v>
      </c>
      <c r="E1811" s="5">
        <v>0</v>
      </c>
    </row>
    <row r="1812" spans="1:5">
      <c r="A1812" s="4" t="str">
        <f>"20228021912"</f>
        <v>20228021912</v>
      </c>
      <c r="B1812" s="4" t="str">
        <f t="shared" si="30"/>
        <v>20220307</v>
      </c>
      <c r="C1812" s="5">
        <v>0</v>
      </c>
      <c r="D1812" s="5">
        <v>0</v>
      </c>
      <c r="E1812" s="5">
        <v>0</v>
      </c>
    </row>
    <row r="1813" spans="1:5">
      <c r="A1813" s="4" t="str">
        <f>"20228021913"</f>
        <v>20228021913</v>
      </c>
      <c r="B1813" s="4" t="str">
        <f t="shared" si="30"/>
        <v>20220307</v>
      </c>
      <c r="C1813" s="5">
        <v>97</v>
      </c>
      <c r="D1813" s="5">
        <v>102.5</v>
      </c>
      <c r="E1813" s="5">
        <v>100.3</v>
      </c>
    </row>
    <row r="1814" spans="1:5">
      <c r="A1814" s="4" t="str">
        <f>"20228021914"</f>
        <v>20228021914</v>
      </c>
      <c r="B1814" s="4" t="str">
        <f t="shared" si="30"/>
        <v>20220307</v>
      </c>
      <c r="C1814" s="5">
        <v>0</v>
      </c>
      <c r="D1814" s="5">
        <v>0</v>
      </c>
      <c r="E1814" s="5">
        <v>0</v>
      </c>
    </row>
    <row r="1815" spans="1:5">
      <c r="A1815" s="4" t="str">
        <f>"20228021915"</f>
        <v>20228021915</v>
      </c>
      <c r="B1815" s="4" t="str">
        <f t="shared" si="30"/>
        <v>20220307</v>
      </c>
      <c r="C1815" s="5">
        <v>69</v>
      </c>
      <c r="D1815" s="5">
        <v>67.8</v>
      </c>
      <c r="E1815" s="5">
        <v>68.28</v>
      </c>
    </row>
    <row r="1816" spans="1:5">
      <c r="A1816" s="4" t="str">
        <f>"20228021916"</f>
        <v>20228021916</v>
      </c>
      <c r="B1816" s="4" t="str">
        <f t="shared" si="30"/>
        <v>20220307</v>
      </c>
      <c r="C1816" s="5">
        <v>98.2</v>
      </c>
      <c r="D1816" s="5">
        <v>98.7</v>
      </c>
      <c r="E1816" s="5">
        <v>98.5</v>
      </c>
    </row>
    <row r="1817" spans="1:5">
      <c r="A1817" s="4" t="str">
        <f>"20228021917"</f>
        <v>20228021917</v>
      </c>
      <c r="B1817" s="4" t="str">
        <f t="shared" si="30"/>
        <v>20220307</v>
      </c>
      <c r="C1817" s="5">
        <v>67.9</v>
      </c>
      <c r="D1817" s="5">
        <v>85.3</v>
      </c>
      <c r="E1817" s="5">
        <v>78.34</v>
      </c>
    </row>
    <row r="1818" spans="1:5">
      <c r="A1818" s="4" t="str">
        <f>"20228021918"</f>
        <v>20228021918</v>
      </c>
      <c r="B1818" s="4" t="str">
        <f t="shared" si="30"/>
        <v>20220307</v>
      </c>
      <c r="C1818" s="5">
        <v>0</v>
      </c>
      <c r="D1818" s="5">
        <v>0</v>
      </c>
      <c r="E1818" s="5">
        <v>0</v>
      </c>
    </row>
    <row r="1819" spans="1:5">
      <c r="A1819" s="4" t="str">
        <f>"20228021919"</f>
        <v>20228021919</v>
      </c>
      <c r="B1819" s="4" t="str">
        <f t="shared" si="30"/>
        <v>20220307</v>
      </c>
      <c r="C1819" s="5">
        <v>83.4</v>
      </c>
      <c r="D1819" s="5">
        <v>93.9</v>
      </c>
      <c r="E1819" s="5">
        <v>89.7</v>
      </c>
    </row>
    <row r="1820" spans="1:5">
      <c r="A1820" s="4" t="str">
        <f>"20228021920"</f>
        <v>20228021920</v>
      </c>
      <c r="B1820" s="4" t="str">
        <f t="shared" si="30"/>
        <v>20220307</v>
      </c>
      <c r="C1820" s="5">
        <v>0</v>
      </c>
      <c r="D1820" s="5">
        <v>0</v>
      </c>
      <c r="E1820" s="5">
        <v>0</v>
      </c>
    </row>
    <row r="1821" spans="1:5">
      <c r="A1821" s="4" t="str">
        <f>"20228021921"</f>
        <v>20228021921</v>
      </c>
      <c r="B1821" s="4" t="str">
        <f t="shared" si="30"/>
        <v>20220307</v>
      </c>
      <c r="C1821" s="5">
        <v>88.8</v>
      </c>
      <c r="D1821" s="5">
        <v>97.1</v>
      </c>
      <c r="E1821" s="5">
        <v>93.78</v>
      </c>
    </row>
    <row r="1822" spans="1:5">
      <c r="A1822" s="4" t="str">
        <f>"20228021922"</f>
        <v>20228021922</v>
      </c>
      <c r="B1822" s="4" t="str">
        <f t="shared" si="30"/>
        <v>20220307</v>
      </c>
      <c r="C1822" s="5">
        <v>0</v>
      </c>
      <c r="D1822" s="5">
        <v>0</v>
      </c>
      <c r="E1822" s="5">
        <v>0</v>
      </c>
    </row>
    <row r="1823" spans="1:5">
      <c r="A1823" s="4" t="str">
        <f>"20228021923"</f>
        <v>20228021923</v>
      </c>
      <c r="B1823" s="4" t="str">
        <f t="shared" si="30"/>
        <v>20220307</v>
      </c>
      <c r="C1823" s="5">
        <v>0</v>
      </c>
      <c r="D1823" s="5">
        <v>0</v>
      </c>
      <c r="E1823" s="5">
        <v>0</v>
      </c>
    </row>
    <row r="1824" spans="1:5">
      <c r="A1824" s="4" t="str">
        <f>"20228021924"</f>
        <v>20228021924</v>
      </c>
      <c r="B1824" s="4" t="str">
        <f t="shared" si="30"/>
        <v>20220307</v>
      </c>
      <c r="C1824" s="5">
        <v>0</v>
      </c>
      <c r="D1824" s="5">
        <v>0</v>
      </c>
      <c r="E1824" s="5">
        <v>0</v>
      </c>
    </row>
    <row r="1825" spans="1:5">
      <c r="A1825" s="4" t="str">
        <f>"20228021925"</f>
        <v>20228021925</v>
      </c>
      <c r="B1825" s="4" t="str">
        <f t="shared" si="30"/>
        <v>20220307</v>
      </c>
      <c r="C1825" s="5">
        <v>92.5</v>
      </c>
      <c r="D1825" s="5">
        <v>102.3</v>
      </c>
      <c r="E1825" s="5">
        <v>98.38</v>
      </c>
    </row>
    <row r="1826" spans="1:5">
      <c r="A1826" s="4" t="str">
        <f>"20228021926"</f>
        <v>20228021926</v>
      </c>
      <c r="B1826" s="4" t="str">
        <f t="shared" si="30"/>
        <v>20220307</v>
      </c>
      <c r="C1826" s="5">
        <v>0</v>
      </c>
      <c r="D1826" s="5">
        <v>0</v>
      </c>
      <c r="E1826" s="5">
        <v>0</v>
      </c>
    </row>
    <row r="1827" spans="1:5">
      <c r="A1827" s="4" t="str">
        <f>"20228021927"</f>
        <v>20228021927</v>
      </c>
      <c r="B1827" s="4" t="str">
        <f t="shared" si="30"/>
        <v>20220307</v>
      </c>
      <c r="C1827" s="5">
        <v>78.7</v>
      </c>
      <c r="D1827" s="5">
        <v>70.4</v>
      </c>
      <c r="E1827" s="5">
        <v>73.72</v>
      </c>
    </row>
    <row r="1828" spans="1:5">
      <c r="A1828" s="4" t="str">
        <f>"20228021928"</f>
        <v>20228021928</v>
      </c>
      <c r="B1828" s="4" t="str">
        <f t="shared" si="30"/>
        <v>20220307</v>
      </c>
      <c r="C1828" s="5">
        <v>75.9</v>
      </c>
      <c r="D1828" s="5">
        <v>94.5</v>
      </c>
      <c r="E1828" s="5">
        <v>87.06</v>
      </c>
    </row>
    <row r="1829" spans="1:5">
      <c r="A1829" s="4" t="str">
        <f>"20228021929"</f>
        <v>20228021929</v>
      </c>
      <c r="B1829" s="4" t="str">
        <f t="shared" si="30"/>
        <v>20220307</v>
      </c>
      <c r="C1829" s="5">
        <v>0</v>
      </c>
      <c r="D1829" s="5">
        <v>0</v>
      </c>
      <c r="E1829" s="5">
        <v>0</v>
      </c>
    </row>
    <row r="1830" spans="1:5">
      <c r="A1830" s="4" t="str">
        <f>"20228021930"</f>
        <v>20228021930</v>
      </c>
      <c r="B1830" s="4" t="str">
        <f t="shared" si="30"/>
        <v>20220307</v>
      </c>
      <c r="C1830" s="5">
        <v>89.7</v>
      </c>
      <c r="D1830" s="5">
        <v>92.4</v>
      </c>
      <c r="E1830" s="5">
        <v>91.32</v>
      </c>
    </row>
    <row r="1831" spans="1:5">
      <c r="A1831" s="4" t="str">
        <f>"20228022001"</f>
        <v>20228022001</v>
      </c>
      <c r="B1831" s="4" t="str">
        <f t="shared" si="30"/>
        <v>20220307</v>
      </c>
      <c r="C1831" s="5">
        <v>96.1</v>
      </c>
      <c r="D1831" s="5">
        <v>93.5</v>
      </c>
      <c r="E1831" s="5">
        <v>94.54</v>
      </c>
    </row>
    <row r="1832" spans="1:5">
      <c r="A1832" s="4" t="str">
        <f>"20228022002"</f>
        <v>20228022002</v>
      </c>
      <c r="B1832" s="4" t="str">
        <f t="shared" si="30"/>
        <v>20220307</v>
      </c>
      <c r="C1832" s="5">
        <v>93.1</v>
      </c>
      <c r="D1832" s="5">
        <v>100.9</v>
      </c>
      <c r="E1832" s="5">
        <v>97.78</v>
      </c>
    </row>
    <row r="1833" spans="1:5">
      <c r="A1833" s="4" t="str">
        <f>"20228022003"</f>
        <v>20228022003</v>
      </c>
      <c r="B1833" s="4" t="str">
        <f t="shared" si="30"/>
        <v>20220307</v>
      </c>
      <c r="C1833" s="5">
        <v>0</v>
      </c>
      <c r="D1833" s="5">
        <v>0</v>
      </c>
      <c r="E1833" s="5">
        <v>0</v>
      </c>
    </row>
    <row r="1834" spans="1:5">
      <c r="A1834" s="4" t="str">
        <f>"20228022004"</f>
        <v>20228022004</v>
      </c>
      <c r="B1834" s="4" t="str">
        <f t="shared" si="30"/>
        <v>20220307</v>
      </c>
      <c r="C1834" s="5">
        <v>86.7</v>
      </c>
      <c r="D1834" s="5">
        <v>87.8</v>
      </c>
      <c r="E1834" s="5">
        <v>87.36</v>
      </c>
    </row>
    <row r="1835" spans="1:5">
      <c r="A1835" s="4" t="str">
        <f>"20228022005"</f>
        <v>20228022005</v>
      </c>
      <c r="B1835" s="4" t="str">
        <f t="shared" si="30"/>
        <v>20220307</v>
      </c>
      <c r="C1835" s="5">
        <v>100.5</v>
      </c>
      <c r="D1835" s="5">
        <v>98.9</v>
      </c>
      <c r="E1835" s="5">
        <v>99.54</v>
      </c>
    </row>
    <row r="1836" spans="1:5">
      <c r="A1836" s="4" t="str">
        <f>"20228022006"</f>
        <v>20228022006</v>
      </c>
      <c r="B1836" s="4" t="str">
        <f t="shared" si="30"/>
        <v>20220307</v>
      </c>
      <c r="C1836" s="5">
        <v>86.5</v>
      </c>
      <c r="D1836" s="5">
        <v>102.7</v>
      </c>
      <c r="E1836" s="5">
        <v>96.22</v>
      </c>
    </row>
    <row r="1837" spans="1:5">
      <c r="A1837" s="4" t="str">
        <f>"20228022007"</f>
        <v>20228022007</v>
      </c>
      <c r="B1837" s="4" t="str">
        <f t="shared" si="30"/>
        <v>20220307</v>
      </c>
      <c r="C1837" s="5">
        <v>90.9</v>
      </c>
      <c r="D1837" s="5">
        <v>97.6</v>
      </c>
      <c r="E1837" s="5">
        <v>94.92</v>
      </c>
    </row>
    <row r="1838" spans="1:5">
      <c r="A1838" s="4" t="str">
        <f>"20228022008"</f>
        <v>20228022008</v>
      </c>
      <c r="B1838" s="4" t="str">
        <f t="shared" si="30"/>
        <v>20220307</v>
      </c>
      <c r="C1838" s="5">
        <v>103.9</v>
      </c>
      <c r="D1838" s="5">
        <v>103.7</v>
      </c>
      <c r="E1838" s="5">
        <v>103.78</v>
      </c>
    </row>
    <row r="1839" spans="1:5">
      <c r="A1839" s="4" t="str">
        <f>"20228022009"</f>
        <v>20228022009</v>
      </c>
      <c r="B1839" s="4" t="str">
        <f t="shared" si="30"/>
        <v>20220307</v>
      </c>
      <c r="C1839" s="5">
        <v>0</v>
      </c>
      <c r="D1839" s="5">
        <v>0</v>
      </c>
      <c r="E1839" s="5">
        <v>0</v>
      </c>
    </row>
    <row r="1840" spans="1:5">
      <c r="A1840" s="4" t="str">
        <f>"20228022010"</f>
        <v>20228022010</v>
      </c>
      <c r="B1840" s="4" t="str">
        <f t="shared" si="30"/>
        <v>20220307</v>
      </c>
      <c r="C1840" s="5">
        <v>76.6</v>
      </c>
      <c r="D1840" s="5">
        <v>79.4</v>
      </c>
      <c r="E1840" s="5">
        <v>78.28</v>
      </c>
    </row>
    <row r="1841" spans="1:5">
      <c r="A1841" s="4" t="str">
        <f>"20228022011"</f>
        <v>20228022011</v>
      </c>
      <c r="B1841" s="4" t="str">
        <f t="shared" si="30"/>
        <v>20220307</v>
      </c>
      <c r="C1841" s="5">
        <v>0</v>
      </c>
      <c r="D1841" s="5">
        <v>0</v>
      </c>
      <c r="E1841" s="5">
        <v>0</v>
      </c>
    </row>
    <row r="1842" spans="1:5">
      <c r="A1842" s="4" t="str">
        <f>"20228022012"</f>
        <v>20228022012</v>
      </c>
      <c r="B1842" s="4" t="str">
        <f t="shared" si="30"/>
        <v>20220307</v>
      </c>
      <c r="C1842" s="5">
        <v>88.3</v>
      </c>
      <c r="D1842" s="5">
        <v>103.7</v>
      </c>
      <c r="E1842" s="5">
        <v>97.54</v>
      </c>
    </row>
    <row r="1843" spans="1:5">
      <c r="A1843" s="4" t="str">
        <f>"20228022013"</f>
        <v>20228022013</v>
      </c>
      <c r="B1843" s="4" t="str">
        <f t="shared" si="30"/>
        <v>20220307</v>
      </c>
      <c r="C1843" s="5">
        <v>0</v>
      </c>
      <c r="D1843" s="5">
        <v>0</v>
      </c>
      <c r="E1843" s="5">
        <v>0</v>
      </c>
    </row>
    <row r="1844" spans="1:5">
      <c r="A1844" s="4" t="str">
        <f>"20228022014"</f>
        <v>20228022014</v>
      </c>
      <c r="B1844" s="4" t="str">
        <f t="shared" si="30"/>
        <v>20220307</v>
      </c>
      <c r="C1844" s="5">
        <v>93.7</v>
      </c>
      <c r="D1844" s="5">
        <v>92.1</v>
      </c>
      <c r="E1844" s="5">
        <v>92.74</v>
      </c>
    </row>
    <row r="1845" spans="1:5">
      <c r="A1845" s="4" t="str">
        <f>"20228022015"</f>
        <v>20228022015</v>
      </c>
      <c r="B1845" s="4" t="str">
        <f t="shared" si="30"/>
        <v>20220307</v>
      </c>
      <c r="C1845" s="5">
        <v>0</v>
      </c>
      <c r="D1845" s="5">
        <v>0</v>
      </c>
      <c r="E1845" s="5">
        <v>0</v>
      </c>
    </row>
    <row r="1846" spans="1:5">
      <c r="A1846" s="4" t="str">
        <f>"20228022016"</f>
        <v>20228022016</v>
      </c>
      <c r="B1846" s="4" t="str">
        <f t="shared" si="30"/>
        <v>20220307</v>
      </c>
      <c r="C1846" s="5">
        <v>77.3</v>
      </c>
      <c r="D1846" s="5">
        <v>101.9</v>
      </c>
      <c r="E1846" s="5">
        <v>92.06</v>
      </c>
    </row>
    <row r="1847" spans="1:5">
      <c r="A1847" s="4" t="str">
        <f>"20228022017"</f>
        <v>20228022017</v>
      </c>
      <c r="B1847" s="4" t="str">
        <f t="shared" si="30"/>
        <v>20220307</v>
      </c>
      <c r="C1847" s="5">
        <v>101.6</v>
      </c>
      <c r="D1847" s="5">
        <v>100.8</v>
      </c>
      <c r="E1847" s="5">
        <v>101.12</v>
      </c>
    </row>
    <row r="1848" spans="1:5">
      <c r="A1848" s="4" t="str">
        <f>"20228022018"</f>
        <v>20228022018</v>
      </c>
      <c r="B1848" s="4" t="str">
        <f t="shared" si="30"/>
        <v>20220307</v>
      </c>
      <c r="C1848" s="5">
        <v>90.4</v>
      </c>
      <c r="D1848" s="5">
        <v>99.2</v>
      </c>
      <c r="E1848" s="5">
        <v>95.68</v>
      </c>
    </row>
    <row r="1849" spans="1:5">
      <c r="A1849" s="4" t="str">
        <f>"20228022019"</f>
        <v>20228022019</v>
      </c>
      <c r="B1849" s="4" t="str">
        <f t="shared" si="30"/>
        <v>20220307</v>
      </c>
      <c r="C1849" s="5">
        <v>95.9</v>
      </c>
      <c r="D1849" s="5">
        <v>102.8</v>
      </c>
      <c r="E1849" s="5">
        <v>100.04</v>
      </c>
    </row>
    <row r="1850" spans="1:5">
      <c r="A1850" s="4" t="str">
        <f>"20228022020"</f>
        <v>20228022020</v>
      </c>
      <c r="B1850" s="4" t="str">
        <f t="shared" si="30"/>
        <v>20220307</v>
      </c>
      <c r="C1850" s="5">
        <v>103.8</v>
      </c>
      <c r="D1850" s="5">
        <v>104.4</v>
      </c>
      <c r="E1850" s="5">
        <v>104.16</v>
      </c>
    </row>
    <row r="1851" spans="1:5">
      <c r="A1851" s="4" t="str">
        <f>"20228022021"</f>
        <v>20228022021</v>
      </c>
      <c r="B1851" s="4" t="str">
        <f t="shared" si="30"/>
        <v>20220307</v>
      </c>
      <c r="C1851" s="5">
        <v>94</v>
      </c>
      <c r="D1851" s="5">
        <v>98.6</v>
      </c>
      <c r="E1851" s="5">
        <v>96.76</v>
      </c>
    </row>
    <row r="1852" spans="1:5">
      <c r="A1852" s="4" t="str">
        <f>"20228022022"</f>
        <v>20228022022</v>
      </c>
      <c r="B1852" s="4" t="str">
        <f t="shared" ref="B1852:B1867" si="31">"20220307"</f>
        <v>20220307</v>
      </c>
      <c r="C1852" s="5">
        <v>87.1</v>
      </c>
      <c r="D1852" s="5">
        <v>93.7</v>
      </c>
      <c r="E1852" s="5">
        <v>91.06</v>
      </c>
    </row>
    <row r="1853" spans="1:5">
      <c r="A1853" s="4" t="str">
        <f>"20228022023"</f>
        <v>20228022023</v>
      </c>
      <c r="B1853" s="4" t="str">
        <f t="shared" si="31"/>
        <v>20220307</v>
      </c>
      <c r="C1853" s="5">
        <v>0</v>
      </c>
      <c r="D1853" s="5">
        <v>0</v>
      </c>
      <c r="E1853" s="5">
        <v>0</v>
      </c>
    </row>
    <row r="1854" spans="1:5">
      <c r="A1854" s="4" t="str">
        <f>"20228022024"</f>
        <v>20228022024</v>
      </c>
      <c r="B1854" s="4" t="str">
        <f t="shared" si="31"/>
        <v>20220307</v>
      </c>
      <c r="C1854" s="5">
        <v>99.9</v>
      </c>
      <c r="D1854" s="5">
        <v>101.7</v>
      </c>
      <c r="E1854" s="5">
        <v>100.98</v>
      </c>
    </row>
    <row r="1855" spans="1:5">
      <c r="A1855" s="4" t="str">
        <f>"20228022025"</f>
        <v>20228022025</v>
      </c>
      <c r="B1855" s="4" t="str">
        <f t="shared" si="31"/>
        <v>20220307</v>
      </c>
      <c r="C1855" s="5">
        <v>99.3</v>
      </c>
      <c r="D1855" s="5">
        <v>103.6</v>
      </c>
      <c r="E1855" s="5">
        <v>101.88</v>
      </c>
    </row>
    <row r="1856" spans="1:5">
      <c r="A1856" s="4" t="str">
        <f>"20228022026"</f>
        <v>20228022026</v>
      </c>
      <c r="B1856" s="4" t="str">
        <f t="shared" si="31"/>
        <v>20220307</v>
      </c>
      <c r="C1856" s="5">
        <v>0</v>
      </c>
      <c r="D1856" s="5">
        <v>0</v>
      </c>
      <c r="E1856" s="5">
        <v>0</v>
      </c>
    </row>
    <row r="1857" spans="1:5">
      <c r="A1857" s="4" t="str">
        <f>"20228022027"</f>
        <v>20228022027</v>
      </c>
      <c r="B1857" s="4" t="str">
        <f t="shared" si="31"/>
        <v>20220307</v>
      </c>
      <c r="C1857" s="5">
        <v>0</v>
      </c>
      <c r="D1857" s="5">
        <v>0</v>
      </c>
      <c r="E1857" s="5">
        <v>0</v>
      </c>
    </row>
    <row r="1858" spans="1:5">
      <c r="A1858" s="4" t="str">
        <f>"20228022028"</f>
        <v>20228022028</v>
      </c>
      <c r="B1858" s="4" t="str">
        <f t="shared" si="31"/>
        <v>20220307</v>
      </c>
      <c r="C1858" s="5">
        <v>0</v>
      </c>
      <c r="D1858" s="5">
        <v>0</v>
      </c>
      <c r="E1858" s="5">
        <v>0</v>
      </c>
    </row>
    <row r="1859" spans="1:5">
      <c r="A1859" s="4" t="str">
        <f>"20228022029"</f>
        <v>20228022029</v>
      </c>
      <c r="B1859" s="4" t="str">
        <f t="shared" si="31"/>
        <v>20220307</v>
      </c>
      <c r="C1859" s="5">
        <v>0</v>
      </c>
      <c r="D1859" s="5">
        <v>0</v>
      </c>
      <c r="E1859" s="5">
        <v>0</v>
      </c>
    </row>
    <row r="1860" spans="1:5">
      <c r="A1860" s="4" t="str">
        <f>"20228022030"</f>
        <v>20228022030</v>
      </c>
      <c r="B1860" s="4" t="str">
        <f t="shared" si="31"/>
        <v>20220307</v>
      </c>
      <c r="C1860" s="5">
        <v>0</v>
      </c>
      <c r="D1860" s="5">
        <v>0</v>
      </c>
      <c r="E1860" s="5">
        <v>0</v>
      </c>
    </row>
    <row r="1861" spans="1:5">
      <c r="A1861" s="4" t="str">
        <f>"20228022101"</f>
        <v>20228022101</v>
      </c>
      <c r="B1861" s="4" t="str">
        <f t="shared" si="31"/>
        <v>20220307</v>
      </c>
      <c r="C1861" s="5">
        <v>102.2</v>
      </c>
      <c r="D1861" s="5">
        <v>102.1</v>
      </c>
      <c r="E1861" s="5">
        <v>102.14</v>
      </c>
    </row>
    <row r="1862" spans="1:5">
      <c r="A1862" s="4" t="str">
        <f>"20228022102"</f>
        <v>20228022102</v>
      </c>
      <c r="B1862" s="4" t="str">
        <f t="shared" si="31"/>
        <v>20220307</v>
      </c>
      <c r="C1862" s="5">
        <v>86.9</v>
      </c>
      <c r="D1862" s="5">
        <v>95.7</v>
      </c>
      <c r="E1862" s="5">
        <v>92.18</v>
      </c>
    </row>
    <row r="1863" spans="1:5">
      <c r="A1863" s="4" t="str">
        <f>"20228022103"</f>
        <v>20228022103</v>
      </c>
      <c r="B1863" s="4" t="str">
        <f t="shared" si="31"/>
        <v>20220307</v>
      </c>
      <c r="C1863" s="5">
        <v>0</v>
      </c>
      <c r="D1863" s="5">
        <v>0</v>
      </c>
      <c r="E1863" s="5">
        <v>0</v>
      </c>
    </row>
    <row r="1864" spans="1:5">
      <c r="A1864" s="4" t="str">
        <f>"20228022104"</f>
        <v>20228022104</v>
      </c>
      <c r="B1864" s="4" t="str">
        <f t="shared" si="31"/>
        <v>20220307</v>
      </c>
      <c r="C1864" s="5">
        <v>94.5</v>
      </c>
      <c r="D1864" s="5">
        <v>100.6</v>
      </c>
      <c r="E1864" s="5">
        <v>98.16</v>
      </c>
    </row>
    <row r="1865" spans="1:5">
      <c r="A1865" s="4" t="str">
        <f>"20228022105"</f>
        <v>20228022105</v>
      </c>
      <c r="B1865" s="4" t="str">
        <f t="shared" si="31"/>
        <v>20220307</v>
      </c>
      <c r="C1865" s="5">
        <v>88.7</v>
      </c>
      <c r="D1865" s="5">
        <v>97.6</v>
      </c>
      <c r="E1865" s="5">
        <v>94.04</v>
      </c>
    </row>
    <row r="1866" spans="1:5">
      <c r="A1866" s="4" t="str">
        <f>"20228022106"</f>
        <v>20228022106</v>
      </c>
      <c r="B1866" s="4" t="str">
        <f t="shared" si="31"/>
        <v>20220307</v>
      </c>
      <c r="C1866" s="5">
        <v>75</v>
      </c>
      <c r="D1866" s="5">
        <v>86.8</v>
      </c>
      <c r="E1866" s="5">
        <v>82.08</v>
      </c>
    </row>
    <row r="1867" spans="1:5">
      <c r="A1867" s="4" t="str">
        <f>"20228022107"</f>
        <v>20228022107</v>
      </c>
      <c r="B1867" s="4" t="str">
        <f t="shared" si="31"/>
        <v>20220307</v>
      </c>
      <c r="C1867" s="5">
        <v>0</v>
      </c>
      <c r="D1867" s="5">
        <v>0</v>
      </c>
      <c r="E1867" s="5">
        <v>0</v>
      </c>
    </row>
    <row r="1868" spans="1:5">
      <c r="A1868" s="4" t="str">
        <f>"20228022108"</f>
        <v>20228022108</v>
      </c>
      <c r="B1868" s="4" t="str">
        <f t="shared" ref="B1868:B1888" si="32">"20220310"</f>
        <v>20220310</v>
      </c>
      <c r="C1868" s="5">
        <v>0</v>
      </c>
      <c r="D1868" s="5">
        <v>0</v>
      </c>
      <c r="E1868" s="5">
        <v>0</v>
      </c>
    </row>
    <row r="1869" spans="1:5">
      <c r="A1869" s="4" t="str">
        <f>"20228022109"</f>
        <v>20228022109</v>
      </c>
      <c r="B1869" s="4" t="str">
        <f t="shared" si="32"/>
        <v>20220310</v>
      </c>
      <c r="C1869" s="5">
        <v>99.1</v>
      </c>
      <c r="D1869" s="5">
        <v>98.3</v>
      </c>
      <c r="E1869" s="5">
        <v>98.62</v>
      </c>
    </row>
    <row r="1870" spans="1:5">
      <c r="A1870" s="4" t="str">
        <f>"20228022110"</f>
        <v>20228022110</v>
      </c>
      <c r="B1870" s="4" t="str">
        <f t="shared" si="32"/>
        <v>20220310</v>
      </c>
      <c r="C1870" s="5">
        <v>0</v>
      </c>
      <c r="D1870" s="5">
        <v>0</v>
      </c>
      <c r="E1870" s="5">
        <v>0</v>
      </c>
    </row>
    <row r="1871" spans="1:5">
      <c r="A1871" s="4" t="str">
        <f>"20228022111"</f>
        <v>20228022111</v>
      </c>
      <c r="B1871" s="4" t="str">
        <f t="shared" si="32"/>
        <v>20220310</v>
      </c>
      <c r="C1871" s="5">
        <v>0</v>
      </c>
      <c r="D1871" s="5">
        <v>0</v>
      </c>
      <c r="E1871" s="5">
        <v>0</v>
      </c>
    </row>
    <row r="1872" spans="1:5">
      <c r="A1872" s="4" t="str">
        <f>"20228022112"</f>
        <v>20228022112</v>
      </c>
      <c r="B1872" s="4" t="str">
        <f t="shared" si="32"/>
        <v>20220310</v>
      </c>
      <c r="C1872" s="5">
        <v>0</v>
      </c>
      <c r="D1872" s="5">
        <v>0</v>
      </c>
      <c r="E1872" s="5">
        <v>0</v>
      </c>
    </row>
    <row r="1873" spans="1:5">
      <c r="A1873" s="4" t="str">
        <f>"20228022113"</f>
        <v>20228022113</v>
      </c>
      <c r="B1873" s="4" t="str">
        <f t="shared" si="32"/>
        <v>20220310</v>
      </c>
      <c r="C1873" s="5">
        <v>0</v>
      </c>
      <c r="D1873" s="5">
        <v>0</v>
      </c>
      <c r="E1873" s="5">
        <v>0</v>
      </c>
    </row>
    <row r="1874" spans="1:5">
      <c r="A1874" s="4" t="str">
        <f>"20228022114"</f>
        <v>20228022114</v>
      </c>
      <c r="B1874" s="4" t="str">
        <f t="shared" si="32"/>
        <v>20220310</v>
      </c>
      <c r="C1874" s="5">
        <v>96</v>
      </c>
      <c r="D1874" s="5">
        <v>93.75</v>
      </c>
      <c r="E1874" s="5">
        <v>94.65</v>
      </c>
    </row>
    <row r="1875" spans="1:5">
      <c r="A1875" s="4" t="str">
        <f>"20228022115"</f>
        <v>20228022115</v>
      </c>
      <c r="B1875" s="4" t="str">
        <f t="shared" si="32"/>
        <v>20220310</v>
      </c>
      <c r="C1875" s="5">
        <v>0</v>
      </c>
      <c r="D1875" s="5">
        <v>0</v>
      </c>
      <c r="E1875" s="5">
        <v>0</v>
      </c>
    </row>
    <row r="1876" spans="1:5">
      <c r="A1876" s="4" t="str">
        <f>"20228022116"</f>
        <v>20228022116</v>
      </c>
      <c r="B1876" s="4" t="str">
        <f t="shared" si="32"/>
        <v>20220310</v>
      </c>
      <c r="C1876" s="5">
        <v>0</v>
      </c>
      <c r="D1876" s="5">
        <v>0</v>
      </c>
      <c r="E1876" s="5">
        <v>0</v>
      </c>
    </row>
    <row r="1877" spans="1:5">
      <c r="A1877" s="4" t="str">
        <f>"20228022117"</f>
        <v>20228022117</v>
      </c>
      <c r="B1877" s="4" t="str">
        <f t="shared" si="32"/>
        <v>20220310</v>
      </c>
      <c r="C1877" s="5">
        <v>0</v>
      </c>
      <c r="D1877" s="5">
        <v>0</v>
      </c>
      <c r="E1877" s="5">
        <v>0</v>
      </c>
    </row>
    <row r="1878" spans="1:5">
      <c r="A1878" s="4" t="str">
        <f>"20228022118"</f>
        <v>20228022118</v>
      </c>
      <c r="B1878" s="4" t="str">
        <f t="shared" si="32"/>
        <v>20220310</v>
      </c>
      <c r="C1878" s="5">
        <v>98.5</v>
      </c>
      <c r="D1878" s="5">
        <v>94.68</v>
      </c>
      <c r="E1878" s="5">
        <v>96.21</v>
      </c>
    </row>
    <row r="1879" spans="1:5">
      <c r="A1879" s="4" t="str">
        <f>"20228022119"</f>
        <v>20228022119</v>
      </c>
      <c r="B1879" s="4" t="str">
        <f t="shared" si="32"/>
        <v>20220310</v>
      </c>
      <c r="C1879" s="5">
        <v>81.6</v>
      </c>
      <c r="D1879" s="5">
        <v>85.48</v>
      </c>
      <c r="E1879" s="5">
        <v>83.93</v>
      </c>
    </row>
    <row r="1880" spans="1:5">
      <c r="A1880" s="4" t="str">
        <f>"20228022120"</f>
        <v>20228022120</v>
      </c>
      <c r="B1880" s="4" t="str">
        <f t="shared" si="32"/>
        <v>20220310</v>
      </c>
      <c r="C1880" s="5">
        <v>0</v>
      </c>
      <c r="D1880" s="5">
        <v>0</v>
      </c>
      <c r="E1880" s="5">
        <v>0</v>
      </c>
    </row>
    <row r="1881" spans="1:5">
      <c r="A1881" s="4" t="str">
        <f>"20228022121"</f>
        <v>20228022121</v>
      </c>
      <c r="B1881" s="4" t="str">
        <f t="shared" si="32"/>
        <v>20220310</v>
      </c>
      <c r="C1881" s="5">
        <v>81.1</v>
      </c>
      <c r="D1881" s="5">
        <v>92.62</v>
      </c>
      <c r="E1881" s="5">
        <v>88.01</v>
      </c>
    </row>
    <row r="1882" spans="1:5">
      <c r="A1882" s="4" t="str">
        <f>"20228022122"</f>
        <v>20228022122</v>
      </c>
      <c r="B1882" s="4" t="str">
        <f t="shared" si="32"/>
        <v>20220310</v>
      </c>
      <c r="C1882" s="5">
        <v>0</v>
      </c>
      <c r="D1882" s="5">
        <v>0</v>
      </c>
      <c r="E1882" s="5">
        <v>0</v>
      </c>
    </row>
    <row r="1883" spans="1:5">
      <c r="A1883" s="4" t="str">
        <f>"20228022123"</f>
        <v>20228022123</v>
      </c>
      <c r="B1883" s="4" t="str">
        <f t="shared" si="32"/>
        <v>20220310</v>
      </c>
      <c r="C1883" s="5">
        <v>83.6</v>
      </c>
      <c r="D1883" s="5">
        <v>90.59</v>
      </c>
      <c r="E1883" s="5">
        <v>87.79</v>
      </c>
    </row>
    <row r="1884" spans="1:5">
      <c r="A1884" s="4" t="str">
        <f>"20228022124"</f>
        <v>20228022124</v>
      </c>
      <c r="B1884" s="4" t="str">
        <f t="shared" si="32"/>
        <v>20220310</v>
      </c>
      <c r="C1884" s="5">
        <v>83.8</v>
      </c>
      <c r="D1884" s="5">
        <v>86.91</v>
      </c>
      <c r="E1884" s="5">
        <v>85.67</v>
      </c>
    </row>
    <row r="1885" spans="1:5">
      <c r="A1885" s="4" t="str">
        <f>"20228022125"</f>
        <v>20228022125</v>
      </c>
      <c r="B1885" s="4" t="str">
        <f t="shared" si="32"/>
        <v>20220310</v>
      </c>
      <c r="C1885" s="5">
        <v>0</v>
      </c>
      <c r="D1885" s="5">
        <v>0</v>
      </c>
      <c r="E1885" s="5">
        <v>0</v>
      </c>
    </row>
    <row r="1886" spans="1:5">
      <c r="A1886" s="4" t="str">
        <f>"20228022126"</f>
        <v>20228022126</v>
      </c>
      <c r="B1886" s="4" t="str">
        <f t="shared" si="32"/>
        <v>20220310</v>
      </c>
      <c r="C1886" s="5">
        <v>0</v>
      </c>
      <c r="D1886" s="5">
        <v>0</v>
      </c>
      <c r="E1886" s="5">
        <v>0</v>
      </c>
    </row>
    <row r="1887" spans="1:5">
      <c r="A1887" s="4" t="str">
        <f>"20228022127"</f>
        <v>20228022127</v>
      </c>
      <c r="B1887" s="4" t="str">
        <f t="shared" si="32"/>
        <v>20220310</v>
      </c>
      <c r="C1887" s="5">
        <v>78.8</v>
      </c>
      <c r="D1887" s="5">
        <v>84.27</v>
      </c>
      <c r="E1887" s="5">
        <v>82.08</v>
      </c>
    </row>
    <row r="1888" spans="1:5">
      <c r="A1888" s="4" t="str">
        <f>"20228022128"</f>
        <v>20228022128</v>
      </c>
      <c r="B1888" s="4" t="str">
        <f t="shared" si="32"/>
        <v>20220310</v>
      </c>
      <c r="C1888" s="5">
        <v>87.3</v>
      </c>
      <c r="D1888" s="5">
        <v>83.47</v>
      </c>
      <c r="E1888" s="5">
        <v>85</v>
      </c>
    </row>
    <row r="1889" spans="1:5">
      <c r="A1889" s="4" t="str">
        <f>"20228022201"</f>
        <v>20228022201</v>
      </c>
      <c r="B1889" s="4" t="str">
        <f t="shared" ref="B1889:B1913" si="33">"20220308"</f>
        <v>20220308</v>
      </c>
      <c r="C1889" s="5">
        <v>84.1</v>
      </c>
      <c r="D1889" s="5">
        <v>74</v>
      </c>
      <c r="E1889" s="5">
        <v>78.04</v>
      </c>
    </row>
    <row r="1890" spans="1:5">
      <c r="A1890" s="4" t="str">
        <f>"20228022202"</f>
        <v>20228022202</v>
      </c>
      <c r="B1890" s="4" t="str">
        <f t="shared" si="33"/>
        <v>20220308</v>
      </c>
      <c r="C1890" s="5">
        <v>0</v>
      </c>
      <c r="D1890" s="5">
        <v>0</v>
      </c>
      <c r="E1890" s="5">
        <v>0</v>
      </c>
    </row>
    <row r="1891" spans="1:5">
      <c r="A1891" s="4" t="str">
        <f>"20228022203"</f>
        <v>20228022203</v>
      </c>
      <c r="B1891" s="4" t="str">
        <f t="shared" si="33"/>
        <v>20220308</v>
      </c>
      <c r="C1891" s="5">
        <v>84.6</v>
      </c>
      <c r="D1891" s="5">
        <v>82.9</v>
      </c>
      <c r="E1891" s="5">
        <v>83.58</v>
      </c>
    </row>
    <row r="1892" spans="1:5">
      <c r="A1892" s="4" t="str">
        <f>"20228022204"</f>
        <v>20228022204</v>
      </c>
      <c r="B1892" s="4" t="str">
        <f t="shared" si="33"/>
        <v>20220308</v>
      </c>
      <c r="C1892" s="5">
        <v>85.6</v>
      </c>
      <c r="D1892" s="5">
        <v>67.1</v>
      </c>
      <c r="E1892" s="5">
        <v>74.5</v>
      </c>
    </row>
    <row r="1893" spans="1:5">
      <c r="A1893" s="4" t="str">
        <f>"20228022205"</f>
        <v>20228022205</v>
      </c>
      <c r="B1893" s="4" t="str">
        <f t="shared" si="33"/>
        <v>20220308</v>
      </c>
      <c r="C1893" s="5">
        <v>93.7</v>
      </c>
      <c r="D1893" s="5">
        <v>71.9</v>
      </c>
      <c r="E1893" s="5">
        <v>80.62</v>
      </c>
    </row>
    <row r="1894" spans="1:5">
      <c r="A1894" s="4" t="str">
        <f>"20228022206"</f>
        <v>20228022206</v>
      </c>
      <c r="B1894" s="4" t="str">
        <f t="shared" si="33"/>
        <v>20220308</v>
      </c>
      <c r="C1894" s="5">
        <v>0</v>
      </c>
      <c r="D1894" s="5">
        <v>0</v>
      </c>
      <c r="E1894" s="5">
        <v>0</v>
      </c>
    </row>
    <row r="1895" spans="1:5">
      <c r="A1895" s="4" t="str">
        <f>"20228022207"</f>
        <v>20228022207</v>
      </c>
      <c r="B1895" s="4" t="str">
        <f t="shared" si="33"/>
        <v>20220308</v>
      </c>
      <c r="C1895" s="5">
        <v>90.7</v>
      </c>
      <c r="D1895" s="5">
        <v>74</v>
      </c>
      <c r="E1895" s="5">
        <v>80.68</v>
      </c>
    </row>
    <row r="1896" spans="1:5">
      <c r="A1896" s="4" t="str">
        <f>"20228022208"</f>
        <v>20228022208</v>
      </c>
      <c r="B1896" s="4" t="str">
        <f t="shared" si="33"/>
        <v>20220308</v>
      </c>
      <c r="C1896" s="5">
        <v>78.8</v>
      </c>
      <c r="D1896" s="5">
        <v>67.4</v>
      </c>
      <c r="E1896" s="5">
        <v>71.96</v>
      </c>
    </row>
    <row r="1897" spans="1:5">
      <c r="A1897" s="4" t="str">
        <f>"20228022209"</f>
        <v>20228022209</v>
      </c>
      <c r="B1897" s="4" t="str">
        <f t="shared" si="33"/>
        <v>20220308</v>
      </c>
      <c r="C1897" s="5">
        <v>72.7</v>
      </c>
      <c r="D1897" s="5">
        <v>52.7</v>
      </c>
      <c r="E1897" s="5">
        <v>60.7</v>
      </c>
    </row>
    <row r="1898" spans="1:5">
      <c r="A1898" s="4" t="str">
        <f>"20228022210"</f>
        <v>20228022210</v>
      </c>
      <c r="B1898" s="4" t="str">
        <f t="shared" si="33"/>
        <v>20220308</v>
      </c>
      <c r="C1898" s="5">
        <v>74.5</v>
      </c>
      <c r="D1898" s="5">
        <v>69.5</v>
      </c>
      <c r="E1898" s="5">
        <v>71.5</v>
      </c>
    </row>
    <row r="1899" spans="1:5">
      <c r="A1899" s="4" t="str">
        <f>"20228022211"</f>
        <v>20228022211</v>
      </c>
      <c r="B1899" s="4" t="str">
        <f t="shared" si="33"/>
        <v>20220308</v>
      </c>
      <c r="C1899" s="5">
        <v>0</v>
      </c>
      <c r="D1899" s="5">
        <v>0</v>
      </c>
      <c r="E1899" s="5">
        <v>0</v>
      </c>
    </row>
    <row r="1900" spans="1:5">
      <c r="A1900" s="4" t="str">
        <f>"20228022212"</f>
        <v>20228022212</v>
      </c>
      <c r="B1900" s="4" t="str">
        <f t="shared" si="33"/>
        <v>20220308</v>
      </c>
      <c r="C1900" s="5">
        <v>0</v>
      </c>
      <c r="D1900" s="5">
        <v>0</v>
      </c>
      <c r="E1900" s="5">
        <v>0</v>
      </c>
    </row>
    <row r="1901" spans="1:5">
      <c r="A1901" s="4" t="str">
        <f>"20228022213"</f>
        <v>20228022213</v>
      </c>
      <c r="B1901" s="4" t="str">
        <f t="shared" si="33"/>
        <v>20220308</v>
      </c>
      <c r="C1901" s="5">
        <v>72.4</v>
      </c>
      <c r="D1901" s="5">
        <v>75.8</v>
      </c>
      <c r="E1901" s="5">
        <v>74.44</v>
      </c>
    </row>
    <row r="1902" spans="1:5">
      <c r="A1902" s="4" t="str">
        <f>"20228022214"</f>
        <v>20228022214</v>
      </c>
      <c r="B1902" s="4" t="str">
        <f t="shared" si="33"/>
        <v>20220308</v>
      </c>
      <c r="C1902" s="5">
        <v>0</v>
      </c>
      <c r="D1902" s="5">
        <v>0</v>
      </c>
      <c r="E1902" s="5">
        <v>0</v>
      </c>
    </row>
    <row r="1903" spans="1:5">
      <c r="A1903" s="4" t="str">
        <f>"20228022215"</f>
        <v>20228022215</v>
      </c>
      <c r="B1903" s="4" t="str">
        <f t="shared" si="33"/>
        <v>20220308</v>
      </c>
      <c r="C1903" s="5">
        <v>87.1</v>
      </c>
      <c r="D1903" s="5">
        <v>63.2</v>
      </c>
      <c r="E1903" s="5">
        <v>72.76</v>
      </c>
    </row>
    <row r="1904" spans="1:5">
      <c r="A1904" s="4" t="str">
        <f>"20228022216"</f>
        <v>20228022216</v>
      </c>
      <c r="B1904" s="4" t="str">
        <f t="shared" si="33"/>
        <v>20220308</v>
      </c>
      <c r="C1904" s="5">
        <v>88.4</v>
      </c>
      <c r="D1904" s="5">
        <v>76.8</v>
      </c>
      <c r="E1904" s="5">
        <v>81.44</v>
      </c>
    </row>
    <row r="1905" spans="1:5">
      <c r="A1905" s="4" t="str">
        <f>"20228022217"</f>
        <v>20228022217</v>
      </c>
      <c r="B1905" s="4" t="str">
        <f t="shared" si="33"/>
        <v>20220308</v>
      </c>
      <c r="C1905" s="5">
        <v>0</v>
      </c>
      <c r="D1905" s="5">
        <v>0</v>
      </c>
      <c r="E1905" s="5">
        <v>0</v>
      </c>
    </row>
    <row r="1906" spans="1:5">
      <c r="A1906" s="4" t="str">
        <f>"20228022218"</f>
        <v>20228022218</v>
      </c>
      <c r="B1906" s="4" t="str">
        <f t="shared" si="33"/>
        <v>20220308</v>
      </c>
      <c r="C1906" s="5">
        <v>0</v>
      </c>
      <c r="D1906" s="5">
        <v>0</v>
      </c>
      <c r="E1906" s="5">
        <v>0</v>
      </c>
    </row>
    <row r="1907" spans="1:5">
      <c r="A1907" s="4" t="str">
        <f>"20228022219"</f>
        <v>20228022219</v>
      </c>
      <c r="B1907" s="4" t="str">
        <f t="shared" si="33"/>
        <v>20220308</v>
      </c>
      <c r="C1907" s="5">
        <v>73.4</v>
      </c>
      <c r="D1907" s="5">
        <v>65.1</v>
      </c>
      <c r="E1907" s="5">
        <v>68.42</v>
      </c>
    </row>
    <row r="1908" spans="1:5">
      <c r="A1908" s="4" t="str">
        <f>"20228022220"</f>
        <v>20228022220</v>
      </c>
      <c r="B1908" s="4" t="str">
        <f t="shared" si="33"/>
        <v>20220308</v>
      </c>
      <c r="C1908" s="5">
        <v>73.6</v>
      </c>
      <c r="D1908" s="5">
        <v>63.8</v>
      </c>
      <c r="E1908" s="5">
        <v>67.72</v>
      </c>
    </row>
    <row r="1909" spans="1:5">
      <c r="A1909" s="4" t="str">
        <f>"20228022221"</f>
        <v>20228022221</v>
      </c>
      <c r="B1909" s="4" t="str">
        <f t="shared" si="33"/>
        <v>20220308</v>
      </c>
      <c r="C1909" s="5">
        <v>86.8</v>
      </c>
      <c r="D1909" s="5">
        <v>75</v>
      </c>
      <c r="E1909" s="5">
        <v>79.72</v>
      </c>
    </row>
    <row r="1910" spans="1:5">
      <c r="A1910" s="4" t="str">
        <f>"20228022222"</f>
        <v>20228022222</v>
      </c>
      <c r="B1910" s="4" t="str">
        <f t="shared" si="33"/>
        <v>20220308</v>
      </c>
      <c r="C1910" s="5">
        <v>0</v>
      </c>
      <c r="D1910" s="5">
        <v>0</v>
      </c>
      <c r="E1910" s="5">
        <v>0</v>
      </c>
    </row>
    <row r="1911" spans="1:5">
      <c r="A1911" s="4" t="str">
        <f>"20228022223"</f>
        <v>20228022223</v>
      </c>
      <c r="B1911" s="4" t="str">
        <f t="shared" si="33"/>
        <v>20220308</v>
      </c>
      <c r="C1911" s="5">
        <v>0</v>
      </c>
      <c r="D1911" s="5">
        <v>0</v>
      </c>
      <c r="E1911" s="5">
        <v>0</v>
      </c>
    </row>
    <row r="1912" spans="1:5">
      <c r="A1912" s="4" t="str">
        <f>"20228022224"</f>
        <v>20228022224</v>
      </c>
      <c r="B1912" s="4" t="str">
        <f t="shared" si="33"/>
        <v>20220308</v>
      </c>
      <c r="C1912" s="5">
        <v>91.2</v>
      </c>
      <c r="D1912" s="5">
        <v>68.7</v>
      </c>
      <c r="E1912" s="5">
        <v>77.7</v>
      </c>
    </row>
    <row r="1913" spans="1:5">
      <c r="A1913" s="4" t="str">
        <f>"20228022225"</f>
        <v>20228022225</v>
      </c>
      <c r="B1913" s="4" t="str">
        <f t="shared" si="33"/>
        <v>20220308</v>
      </c>
      <c r="C1913" s="5">
        <v>98.5</v>
      </c>
      <c r="D1913" s="5">
        <v>80</v>
      </c>
      <c r="E1913" s="5">
        <v>87.4</v>
      </c>
    </row>
    <row r="1914" spans="1:5">
      <c r="A1914" s="4" t="str">
        <f>"20228022226"</f>
        <v>20228022226</v>
      </c>
      <c r="B1914" s="4" t="str">
        <f t="shared" ref="B1914:B1918" si="34">"20220309"</f>
        <v>20220309</v>
      </c>
      <c r="C1914" s="5">
        <v>0</v>
      </c>
      <c r="D1914" s="5">
        <v>0</v>
      </c>
      <c r="E1914" s="5">
        <v>0</v>
      </c>
    </row>
    <row r="1915" spans="1:5">
      <c r="A1915" s="4" t="str">
        <f>"20228022227"</f>
        <v>20228022227</v>
      </c>
      <c r="B1915" s="4" t="str">
        <f t="shared" si="34"/>
        <v>20220309</v>
      </c>
      <c r="C1915" s="5">
        <v>83.3</v>
      </c>
      <c r="D1915" s="5">
        <v>98.2</v>
      </c>
      <c r="E1915" s="5">
        <v>92.24</v>
      </c>
    </row>
    <row r="1916" spans="1:5">
      <c r="A1916" s="4" t="str">
        <f>"20228022228"</f>
        <v>20228022228</v>
      </c>
      <c r="B1916" s="4" t="str">
        <f t="shared" si="34"/>
        <v>20220309</v>
      </c>
      <c r="C1916" s="5">
        <v>0</v>
      </c>
      <c r="D1916" s="5">
        <v>0</v>
      </c>
      <c r="E1916" s="5">
        <v>0</v>
      </c>
    </row>
    <row r="1917" spans="1:5">
      <c r="A1917" s="4" t="str">
        <f>"20228022229"</f>
        <v>20228022229</v>
      </c>
      <c r="B1917" s="4" t="str">
        <f t="shared" si="34"/>
        <v>20220309</v>
      </c>
      <c r="C1917" s="5">
        <v>91.9</v>
      </c>
      <c r="D1917" s="5">
        <v>93</v>
      </c>
      <c r="E1917" s="5">
        <v>92.56</v>
      </c>
    </row>
    <row r="1918" spans="1:5">
      <c r="A1918" s="4" t="str">
        <f>"20228022230"</f>
        <v>20228022230</v>
      </c>
      <c r="B1918" s="4" t="str">
        <f t="shared" si="34"/>
        <v>20220309</v>
      </c>
      <c r="C1918" s="5">
        <v>90.9</v>
      </c>
      <c r="D1918" s="5">
        <v>93.6</v>
      </c>
      <c r="E1918" s="5">
        <v>92.52</v>
      </c>
    </row>
    <row r="1919" spans="1:5">
      <c r="A1919" s="4" t="str">
        <f>"20228022301"</f>
        <v>20228022301</v>
      </c>
      <c r="B1919" s="4" t="str">
        <f t="shared" ref="B1919:B1981" si="35">"20220312"</f>
        <v>20220312</v>
      </c>
      <c r="C1919" s="5">
        <v>68.2</v>
      </c>
      <c r="D1919" s="5">
        <v>85.82</v>
      </c>
      <c r="E1919" s="5">
        <v>78.77</v>
      </c>
    </row>
    <row r="1920" spans="1:5">
      <c r="A1920" s="4" t="str">
        <f>"20228022302"</f>
        <v>20228022302</v>
      </c>
      <c r="B1920" s="4" t="str">
        <f t="shared" si="35"/>
        <v>20220312</v>
      </c>
      <c r="C1920" s="5">
        <v>86</v>
      </c>
      <c r="D1920" s="5">
        <v>83.42</v>
      </c>
      <c r="E1920" s="5">
        <v>84.45</v>
      </c>
    </row>
    <row r="1921" spans="1:5">
      <c r="A1921" s="4" t="str">
        <f>"20228022303"</f>
        <v>20228022303</v>
      </c>
      <c r="B1921" s="4" t="str">
        <f t="shared" si="35"/>
        <v>20220312</v>
      </c>
      <c r="C1921" s="5">
        <v>88.3</v>
      </c>
      <c r="D1921" s="5">
        <v>86.55</v>
      </c>
      <c r="E1921" s="5">
        <v>87.25</v>
      </c>
    </row>
    <row r="1922" spans="1:5">
      <c r="A1922" s="4" t="str">
        <f>"20228022304"</f>
        <v>20228022304</v>
      </c>
      <c r="B1922" s="4" t="str">
        <f t="shared" si="35"/>
        <v>20220312</v>
      </c>
      <c r="C1922" s="5">
        <v>74.9</v>
      </c>
      <c r="D1922" s="5">
        <v>75.59</v>
      </c>
      <c r="E1922" s="5">
        <v>75.31</v>
      </c>
    </row>
    <row r="1923" spans="1:5">
      <c r="A1923" s="4" t="str">
        <f>"20228022305"</f>
        <v>20228022305</v>
      </c>
      <c r="B1923" s="4" t="str">
        <f t="shared" si="35"/>
        <v>20220312</v>
      </c>
      <c r="C1923" s="5">
        <v>82.8</v>
      </c>
      <c r="D1923" s="5">
        <v>92.68</v>
      </c>
      <c r="E1923" s="5">
        <v>88.73</v>
      </c>
    </row>
    <row r="1924" spans="1:5">
      <c r="A1924" s="4" t="str">
        <f>"20228022306"</f>
        <v>20228022306</v>
      </c>
      <c r="B1924" s="4" t="str">
        <f t="shared" si="35"/>
        <v>20220312</v>
      </c>
      <c r="C1924" s="5">
        <v>100.6</v>
      </c>
      <c r="D1924" s="5">
        <v>94.82</v>
      </c>
      <c r="E1924" s="5">
        <v>97.13</v>
      </c>
    </row>
    <row r="1925" spans="1:5">
      <c r="A1925" s="4" t="str">
        <f>"20228022307"</f>
        <v>20228022307</v>
      </c>
      <c r="B1925" s="4" t="str">
        <f t="shared" si="35"/>
        <v>20220312</v>
      </c>
      <c r="C1925" s="5">
        <v>89.2</v>
      </c>
      <c r="D1925" s="5">
        <v>92.26</v>
      </c>
      <c r="E1925" s="5">
        <v>91.04</v>
      </c>
    </row>
    <row r="1926" spans="1:5">
      <c r="A1926" s="4" t="str">
        <f>"20228022308"</f>
        <v>20228022308</v>
      </c>
      <c r="B1926" s="4" t="str">
        <f t="shared" si="35"/>
        <v>20220312</v>
      </c>
      <c r="C1926" s="5">
        <v>75.7</v>
      </c>
      <c r="D1926" s="5">
        <v>79.74</v>
      </c>
      <c r="E1926" s="5">
        <v>78.12</v>
      </c>
    </row>
    <row r="1927" spans="1:5">
      <c r="A1927" s="4" t="str">
        <f>"20228022309"</f>
        <v>20228022309</v>
      </c>
      <c r="B1927" s="4" t="str">
        <f t="shared" si="35"/>
        <v>20220312</v>
      </c>
      <c r="C1927" s="5">
        <v>74.1</v>
      </c>
      <c r="D1927" s="5">
        <v>79.45</v>
      </c>
      <c r="E1927" s="5">
        <v>77.31</v>
      </c>
    </row>
    <row r="1928" spans="1:5">
      <c r="A1928" s="4" t="str">
        <f>"20228022310"</f>
        <v>20228022310</v>
      </c>
      <c r="B1928" s="4" t="str">
        <f t="shared" si="35"/>
        <v>20220312</v>
      </c>
      <c r="C1928" s="5">
        <v>93</v>
      </c>
      <c r="D1928" s="5">
        <v>89.73</v>
      </c>
      <c r="E1928" s="5">
        <v>91.04</v>
      </c>
    </row>
    <row r="1929" spans="1:5">
      <c r="A1929" s="4" t="str">
        <f>"20228022311"</f>
        <v>20228022311</v>
      </c>
      <c r="B1929" s="4" t="str">
        <f t="shared" si="35"/>
        <v>20220312</v>
      </c>
      <c r="C1929" s="5">
        <v>0</v>
      </c>
      <c r="D1929" s="5">
        <v>0</v>
      </c>
      <c r="E1929" s="5">
        <v>0</v>
      </c>
    </row>
    <row r="1930" spans="1:5">
      <c r="A1930" s="4" t="str">
        <f>"20228022312"</f>
        <v>20228022312</v>
      </c>
      <c r="B1930" s="4" t="str">
        <f t="shared" si="35"/>
        <v>20220312</v>
      </c>
      <c r="C1930" s="5">
        <v>0</v>
      </c>
      <c r="D1930" s="5">
        <v>0</v>
      </c>
      <c r="E1930" s="5">
        <v>0</v>
      </c>
    </row>
    <row r="1931" spans="1:5">
      <c r="A1931" s="4" t="str">
        <f>"20228022313"</f>
        <v>20228022313</v>
      </c>
      <c r="B1931" s="4" t="str">
        <f t="shared" si="35"/>
        <v>20220312</v>
      </c>
      <c r="C1931" s="5">
        <v>90</v>
      </c>
      <c r="D1931" s="5">
        <v>94.11</v>
      </c>
      <c r="E1931" s="5">
        <v>92.47</v>
      </c>
    </row>
    <row r="1932" spans="1:5">
      <c r="A1932" s="4" t="str">
        <f>"20228022314"</f>
        <v>20228022314</v>
      </c>
      <c r="B1932" s="4" t="str">
        <f t="shared" si="35"/>
        <v>20220312</v>
      </c>
      <c r="C1932" s="5">
        <v>86.4</v>
      </c>
      <c r="D1932" s="5">
        <v>90.49</v>
      </c>
      <c r="E1932" s="5">
        <v>88.85</v>
      </c>
    </row>
    <row r="1933" spans="1:5">
      <c r="A1933" s="4" t="str">
        <f>"20228022315"</f>
        <v>20228022315</v>
      </c>
      <c r="B1933" s="4" t="str">
        <f t="shared" si="35"/>
        <v>20220312</v>
      </c>
      <c r="C1933" s="5">
        <v>89.7</v>
      </c>
      <c r="D1933" s="5">
        <v>90.96</v>
      </c>
      <c r="E1933" s="5">
        <v>90.46</v>
      </c>
    </row>
    <row r="1934" spans="1:5">
      <c r="A1934" s="4" t="str">
        <f>"20228022316"</f>
        <v>20228022316</v>
      </c>
      <c r="B1934" s="4" t="str">
        <f t="shared" si="35"/>
        <v>20220312</v>
      </c>
      <c r="C1934" s="5">
        <v>76.9</v>
      </c>
      <c r="D1934" s="5">
        <v>71.94</v>
      </c>
      <c r="E1934" s="5">
        <v>73.92</v>
      </c>
    </row>
    <row r="1935" spans="1:5">
      <c r="A1935" s="4" t="str">
        <f>"20228022317"</f>
        <v>20228022317</v>
      </c>
      <c r="B1935" s="4" t="str">
        <f t="shared" si="35"/>
        <v>20220312</v>
      </c>
      <c r="C1935" s="5">
        <v>96</v>
      </c>
      <c r="D1935" s="5">
        <v>92.6</v>
      </c>
      <c r="E1935" s="5">
        <v>93.96</v>
      </c>
    </row>
    <row r="1936" spans="1:5">
      <c r="A1936" s="4" t="str">
        <f>"20228022318"</f>
        <v>20228022318</v>
      </c>
      <c r="B1936" s="4" t="str">
        <f t="shared" si="35"/>
        <v>20220312</v>
      </c>
      <c r="C1936" s="5">
        <v>84</v>
      </c>
      <c r="D1936" s="5">
        <v>85.73</v>
      </c>
      <c r="E1936" s="5">
        <v>85.04</v>
      </c>
    </row>
    <row r="1937" spans="1:5">
      <c r="A1937" s="4" t="str">
        <f>"20228022319"</f>
        <v>20228022319</v>
      </c>
      <c r="B1937" s="4" t="str">
        <f t="shared" si="35"/>
        <v>20220312</v>
      </c>
      <c r="C1937" s="5">
        <v>80.4</v>
      </c>
      <c r="D1937" s="5">
        <v>84.82</v>
      </c>
      <c r="E1937" s="5">
        <v>83.05</v>
      </c>
    </row>
    <row r="1938" spans="1:5">
      <c r="A1938" s="4" t="str">
        <f>"20228022320"</f>
        <v>20228022320</v>
      </c>
      <c r="B1938" s="4" t="str">
        <f t="shared" si="35"/>
        <v>20220312</v>
      </c>
      <c r="C1938" s="5">
        <v>67.4</v>
      </c>
      <c r="D1938" s="5">
        <v>69.59</v>
      </c>
      <c r="E1938" s="5">
        <v>68.71</v>
      </c>
    </row>
    <row r="1939" spans="1:5">
      <c r="A1939" s="4" t="str">
        <f>"20228022321"</f>
        <v>20228022321</v>
      </c>
      <c r="B1939" s="4" t="str">
        <f t="shared" si="35"/>
        <v>20220312</v>
      </c>
      <c r="C1939" s="5">
        <v>73.8</v>
      </c>
      <c r="D1939" s="5">
        <v>77.21</v>
      </c>
      <c r="E1939" s="5">
        <v>75.85</v>
      </c>
    </row>
    <row r="1940" spans="1:5">
      <c r="A1940" s="4" t="str">
        <f>"20228022322"</f>
        <v>20228022322</v>
      </c>
      <c r="B1940" s="4" t="str">
        <f t="shared" si="35"/>
        <v>20220312</v>
      </c>
      <c r="C1940" s="5">
        <v>67.3</v>
      </c>
      <c r="D1940" s="5">
        <v>70.44</v>
      </c>
      <c r="E1940" s="5">
        <v>69.18</v>
      </c>
    </row>
    <row r="1941" spans="1:5">
      <c r="A1941" s="4" t="str">
        <f>"20228022323"</f>
        <v>20228022323</v>
      </c>
      <c r="B1941" s="4" t="str">
        <f t="shared" si="35"/>
        <v>20220312</v>
      </c>
      <c r="C1941" s="5">
        <v>80</v>
      </c>
      <c r="D1941" s="5">
        <v>62.07</v>
      </c>
      <c r="E1941" s="5">
        <v>69.24</v>
      </c>
    </row>
    <row r="1942" spans="1:5">
      <c r="A1942" s="4" t="str">
        <f>"20228022324"</f>
        <v>20228022324</v>
      </c>
      <c r="B1942" s="4" t="str">
        <f t="shared" si="35"/>
        <v>20220312</v>
      </c>
      <c r="C1942" s="5">
        <v>77.5</v>
      </c>
      <c r="D1942" s="5">
        <v>86.13</v>
      </c>
      <c r="E1942" s="5">
        <v>82.68</v>
      </c>
    </row>
    <row r="1943" spans="1:5">
      <c r="A1943" s="4" t="str">
        <f>"20228022325"</f>
        <v>20228022325</v>
      </c>
      <c r="B1943" s="4" t="str">
        <f t="shared" si="35"/>
        <v>20220312</v>
      </c>
      <c r="C1943" s="5">
        <v>0</v>
      </c>
      <c r="D1943" s="5">
        <v>0</v>
      </c>
      <c r="E1943" s="5">
        <v>0</v>
      </c>
    </row>
    <row r="1944" spans="1:5">
      <c r="A1944" s="4" t="str">
        <f>"20228022326"</f>
        <v>20228022326</v>
      </c>
      <c r="B1944" s="4" t="str">
        <f t="shared" si="35"/>
        <v>20220312</v>
      </c>
      <c r="C1944" s="5">
        <v>0</v>
      </c>
      <c r="D1944" s="5">
        <v>0</v>
      </c>
      <c r="E1944" s="5">
        <v>0</v>
      </c>
    </row>
    <row r="1945" spans="1:5">
      <c r="A1945" s="4" t="str">
        <f>"20228022327"</f>
        <v>20228022327</v>
      </c>
      <c r="B1945" s="4" t="str">
        <f t="shared" si="35"/>
        <v>20220312</v>
      </c>
      <c r="C1945" s="5">
        <v>75</v>
      </c>
      <c r="D1945" s="5">
        <v>83.16</v>
      </c>
      <c r="E1945" s="5">
        <v>79.9</v>
      </c>
    </row>
    <row r="1946" spans="1:5">
      <c r="A1946" s="4" t="str">
        <f>"20228022328"</f>
        <v>20228022328</v>
      </c>
      <c r="B1946" s="4" t="str">
        <f t="shared" si="35"/>
        <v>20220312</v>
      </c>
      <c r="C1946" s="5">
        <v>99.6</v>
      </c>
      <c r="D1946" s="5">
        <v>85.68</v>
      </c>
      <c r="E1946" s="5">
        <v>91.25</v>
      </c>
    </row>
    <row r="1947" spans="1:5">
      <c r="A1947" s="4" t="str">
        <f>"20228022329"</f>
        <v>20228022329</v>
      </c>
      <c r="B1947" s="4" t="str">
        <f t="shared" si="35"/>
        <v>20220312</v>
      </c>
      <c r="C1947" s="5">
        <v>0</v>
      </c>
      <c r="D1947" s="5">
        <v>0</v>
      </c>
      <c r="E1947" s="5">
        <v>0</v>
      </c>
    </row>
    <row r="1948" spans="1:5">
      <c r="A1948" s="4" t="str">
        <f>"20228022330"</f>
        <v>20228022330</v>
      </c>
      <c r="B1948" s="4" t="str">
        <f t="shared" si="35"/>
        <v>20220312</v>
      </c>
      <c r="C1948" s="5">
        <v>0</v>
      </c>
      <c r="D1948" s="5">
        <v>0</v>
      </c>
      <c r="E1948" s="5">
        <v>0</v>
      </c>
    </row>
    <row r="1949" spans="1:5">
      <c r="A1949" s="4" t="str">
        <f>"20228022401"</f>
        <v>20228022401</v>
      </c>
      <c r="B1949" s="4" t="str">
        <f t="shared" si="35"/>
        <v>20220312</v>
      </c>
      <c r="C1949" s="5">
        <v>0</v>
      </c>
      <c r="D1949" s="5">
        <v>0</v>
      </c>
      <c r="E1949" s="5">
        <v>0</v>
      </c>
    </row>
    <row r="1950" spans="1:5">
      <c r="A1950" s="4" t="str">
        <f>"20228022402"</f>
        <v>20228022402</v>
      </c>
      <c r="B1950" s="4" t="str">
        <f t="shared" si="35"/>
        <v>20220312</v>
      </c>
      <c r="C1950" s="5">
        <v>101.1</v>
      </c>
      <c r="D1950" s="5">
        <v>95.76</v>
      </c>
      <c r="E1950" s="5">
        <v>97.9</v>
      </c>
    </row>
    <row r="1951" spans="1:5">
      <c r="A1951" s="4" t="str">
        <f>"20228022403"</f>
        <v>20228022403</v>
      </c>
      <c r="B1951" s="4" t="str">
        <f t="shared" si="35"/>
        <v>20220312</v>
      </c>
      <c r="C1951" s="5">
        <v>0</v>
      </c>
      <c r="D1951" s="5">
        <v>0</v>
      </c>
      <c r="E1951" s="5">
        <v>0</v>
      </c>
    </row>
    <row r="1952" spans="1:5">
      <c r="A1952" s="4" t="str">
        <f>"20228022404"</f>
        <v>20228022404</v>
      </c>
      <c r="B1952" s="4" t="str">
        <f t="shared" si="35"/>
        <v>20220312</v>
      </c>
      <c r="C1952" s="5">
        <v>0</v>
      </c>
      <c r="D1952" s="5">
        <v>0</v>
      </c>
      <c r="E1952" s="5">
        <v>0</v>
      </c>
    </row>
    <row r="1953" spans="1:5">
      <c r="A1953" s="4" t="str">
        <f>"20228022405"</f>
        <v>20228022405</v>
      </c>
      <c r="B1953" s="4" t="str">
        <f t="shared" si="35"/>
        <v>20220312</v>
      </c>
      <c r="C1953" s="5">
        <v>73.8</v>
      </c>
      <c r="D1953" s="5">
        <v>84.42</v>
      </c>
      <c r="E1953" s="5">
        <v>80.17</v>
      </c>
    </row>
    <row r="1954" spans="1:5">
      <c r="A1954" s="4" t="str">
        <f>"20228022406"</f>
        <v>20228022406</v>
      </c>
      <c r="B1954" s="4" t="str">
        <f t="shared" si="35"/>
        <v>20220312</v>
      </c>
      <c r="C1954" s="5">
        <v>0</v>
      </c>
      <c r="D1954" s="5">
        <v>0</v>
      </c>
      <c r="E1954" s="5">
        <v>0</v>
      </c>
    </row>
    <row r="1955" spans="1:5">
      <c r="A1955" s="4" t="str">
        <f>"20228022407"</f>
        <v>20228022407</v>
      </c>
      <c r="B1955" s="4" t="str">
        <f t="shared" si="35"/>
        <v>20220312</v>
      </c>
      <c r="C1955" s="5">
        <v>0</v>
      </c>
      <c r="D1955" s="5">
        <v>0</v>
      </c>
      <c r="E1955" s="5">
        <v>0</v>
      </c>
    </row>
    <row r="1956" spans="1:5">
      <c r="A1956" s="4" t="str">
        <f>"20228022408"</f>
        <v>20228022408</v>
      </c>
      <c r="B1956" s="4" t="str">
        <f t="shared" si="35"/>
        <v>20220312</v>
      </c>
      <c r="C1956" s="5">
        <v>80.4</v>
      </c>
      <c r="D1956" s="5">
        <v>82.32</v>
      </c>
      <c r="E1956" s="5">
        <v>81.55</v>
      </c>
    </row>
    <row r="1957" spans="1:5">
      <c r="A1957" s="4" t="str">
        <f>"20228022409"</f>
        <v>20228022409</v>
      </c>
      <c r="B1957" s="4" t="str">
        <f t="shared" si="35"/>
        <v>20220312</v>
      </c>
      <c r="C1957" s="5">
        <v>88.1</v>
      </c>
      <c r="D1957" s="5">
        <v>93.17</v>
      </c>
      <c r="E1957" s="5">
        <v>91.14</v>
      </c>
    </row>
    <row r="1958" spans="1:5">
      <c r="A1958" s="4" t="str">
        <f>"20228022410"</f>
        <v>20228022410</v>
      </c>
      <c r="B1958" s="4" t="str">
        <f t="shared" si="35"/>
        <v>20220312</v>
      </c>
      <c r="C1958" s="5">
        <v>77</v>
      </c>
      <c r="D1958" s="5">
        <v>85.07</v>
      </c>
      <c r="E1958" s="5">
        <v>81.84</v>
      </c>
    </row>
    <row r="1959" spans="1:5">
      <c r="A1959" s="4" t="str">
        <f>"20228022411"</f>
        <v>20228022411</v>
      </c>
      <c r="B1959" s="4" t="str">
        <f t="shared" si="35"/>
        <v>20220312</v>
      </c>
      <c r="C1959" s="5">
        <v>83.3</v>
      </c>
      <c r="D1959" s="5">
        <v>76.53</v>
      </c>
      <c r="E1959" s="5">
        <v>79.24</v>
      </c>
    </row>
    <row r="1960" spans="1:5">
      <c r="A1960" s="4" t="str">
        <f>"20228022412"</f>
        <v>20228022412</v>
      </c>
      <c r="B1960" s="4" t="str">
        <f t="shared" si="35"/>
        <v>20220312</v>
      </c>
      <c r="C1960" s="5">
        <v>0</v>
      </c>
      <c r="D1960" s="5">
        <v>0</v>
      </c>
      <c r="E1960" s="5">
        <v>0</v>
      </c>
    </row>
    <row r="1961" spans="1:5">
      <c r="A1961" s="4" t="str">
        <f>"20228022413"</f>
        <v>20228022413</v>
      </c>
      <c r="B1961" s="4" t="str">
        <f t="shared" si="35"/>
        <v>20220312</v>
      </c>
      <c r="C1961" s="5">
        <v>75.4</v>
      </c>
      <c r="D1961" s="5">
        <v>67.59</v>
      </c>
      <c r="E1961" s="5">
        <v>70.71</v>
      </c>
    </row>
    <row r="1962" spans="1:5">
      <c r="A1962" s="4" t="str">
        <f>"20228022414"</f>
        <v>20228022414</v>
      </c>
      <c r="B1962" s="4" t="str">
        <f t="shared" si="35"/>
        <v>20220312</v>
      </c>
      <c r="C1962" s="5">
        <v>82.1</v>
      </c>
      <c r="D1962" s="5">
        <v>81.69</v>
      </c>
      <c r="E1962" s="5">
        <v>81.85</v>
      </c>
    </row>
    <row r="1963" spans="1:5">
      <c r="A1963" s="4" t="str">
        <f>"20228022415"</f>
        <v>20228022415</v>
      </c>
      <c r="B1963" s="4" t="str">
        <f t="shared" si="35"/>
        <v>20220312</v>
      </c>
      <c r="C1963" s="5">
        <v>84.1</v>
      </c>
      <c r="D1963" s="5">
        <v>83.2</v>
      </c>
      <c r="E1963" s="5">
        <v>83.56</v>
      </c>
    </row>
    <row r="1964" spans="1:5">
      <c r="A1964" s="4" t="str">
        <f>"20228022416"</f>
        <v>20228022416</v>
      </c>
      <c r="B1964" s="4" t="str">
        <f t="shared" si="35"/>
        <v>20220312</v>
      </c>
      <c r="C1964" s="5">
        <v>75.4</v>
      </c>
      <c r="D1964" s="5">
        <v>87.72</v>
      </c>
      <c r="E1964" s="5">
        <v>82.79</v>
      </c>
    </row>
    <row r="1965" spans="1:5">
      <c r="A1965" s="4" t="str">
        <f>"20228022417"</f>
        <v>20228022417</v>
      </c>
      <c r="B1965" s="4" t="str">
        <f t="shared" si="35"/>
        <v>20220312</v>
      </c>
      <c r="C1965" s="5">
        <v>80.4</v>
      </c>
      <c r="D1965" s="5">
        <v>96.02</v>
      </c>
      <c r="E1965" s="5">
        <v>89.77</v>
      </c>
    </row>
    <row r="1966" spans="1:5">
      <c r="A1966" s="4" t="str">
        <f>"20228022418"</f>
        <v>20228022418</v>
      </c>
      <c r="B1966" s="4" t="str">
        <f t="shared" si="35"/>
        <v>20220312</v>
      </c>
      <c r="C1966" s="5">
        <v>87.5</v>
      </c>
      <c r="D1966" s="5">
        <v>78.1</v>
      </c>
      <c r="E1966" s="5">
        <v>81.86</v>
      </c>
    </row>
    <row r="1967" spans="1:5">
      <c r="A1967" s="4" t="str">
        <f>"20228022419"</f>
        <v>20228022419</v>
      </c>
      <c r="B1967" s="4" t="str">
        <f t="shared" si="35"/>
        <v>20220312</v>
      </c>
      <c r="C1967" s="5">
        <v>74.1</v>
      </c>
      <c r="D1967" s="5">
        <v>84.59</v>
      </c>
      <c r="E1967" s="5">
        <v>80.39</v>
      </c>
    </row>
    <row r="1968" spans="1:5">
      <c r="A1968" s="4" t="str">
        <f>"20228022420"</f>
        <v>20228022420</v>
      </c>
      <c r="B1968" s="4" t="str">
        <f t="shared" si="35"/>
        <v>20220312</v>
      </c>
      <c r="C1968" s="5">
        <v>80.4</v>
      </c>
      <c r="D1968" s="5">
        <v>81.22</v>
      </c>
      <c r="E1968" s="5">
        <v>80.89</v>
      </c>
    </row>
    <row r="1969" spans="1:5">
      <c r="A1969" s="4" t="str">
        <f>"20228022421"</f>
        <v>20228022421</v>
      </c>
      <c r="B1969" s="4" t="str">
        <f t="shared" si="35"/>
        <v>20220312</v>
      </c>
      <c r="C1969" s="5">
        <v>0</v>
      </c>
      <c r="D1969" s="5">
        <v>0</v>
      </c>
      <c r="E1969" s="5">
        <v>0</v>
      </c>
    </row>
    <row r="1970" spans="1:5">
      <c r="A1970" s="4" t="str">
        <f>"20228022422"</f>
        <v>20228022422</v>
      </c>
      <c r="B1970" s="4" t="str">
        <f t="shared" si="35"/>
        <v>20220312</v>
      </c>
      <c r="C1970" s="5">
        <v>0</v>
      </c>
      <c r="D1970" s="5">
        <v>0</v>
      </c>
      <c r="E1970" s="5">
        <v>0</v>
      </c>
    </row>
    <row r="1971" spans="1:5">
      <c r="A1971" s="4" t="str">
        <f>"20228022423"</f>
        <v>20228022423</v>
      </c>
      <c r="B1971" s="4" t="str">
        <f t="shared" si="35"/>
        <v>20220312</v>
      </c>
      <c r="C1971" s="5">
        <v>93.7</v>
      </c>
      <c r="D1971" s="5">
        <v>85.8</v>
      </c>
      <c r="E1971" s="5">
        <v>88.96</v>
      </c>
    </row>
    <row r="1972" spans="1:5">
      <c r="A1972" s="4" t="str">
        <f>"20228022424"</f>
        <v>20228022424</v>
      </c>
      <c r="B1972" s="4" t="str">
        <f t="shared" si="35"/>
        <v>20220312</v>
      </c>
      <c r="C1972" s="5">
        <v>0</v>
      </c>
      <c r="D1972" s="5">
        <v>0</v>
      </c>
      <c r="E1972" s="5">
        <v>0</v>
      </c>
    </row>
    <row r="1973" spans="1:5">
      <c r="A1973" s="4" t="str">
        <f>"20228022425"</f>
        <v>20228022425</v>
      </c>
      <c r="B1973" s="4" t="str">
        <f t="shared" si="35"/>
        <v>20220312</v>
      </c>
      <c r="C1973" s="5">
        <v>76.6</v>
      </c>
      <c r="D1973" s="5">
        <v>75.12</v>
      </c>
      <c r="E1973" s="5">
        <v>75.71</v>
      </c>
    </row>
    <row r="1974" spans="1:5">
      <c r="A1974" s="4" t="str">
        <f>"20228022426"</f>
        <v>20228022426</v>
      </c>
      <c r="B1974" s="4" t="str">
        <f t="shared" si="35"/>
        <v>20220312</v>
      </c>
      <c r="C1974" s="5">
        <v>82.8</v>
      </c>
      <c r="D1974" s="5">
        <v>76.71</v>
      </c>
      <c r="E1974" s="5">
        <v>79.15</v>
      </c>
    </row>
    <row r="1975" spans="1:5">
      <c r="A1975" s="4" t="str">
        <f>"20228022427"</f>
        <v>20228022427</v>
      </c>
      <c r="B1975" s="4" t="str">
        <f t="shared" si="35"/>
        <v>20220312</v>
      </c>
      <c r="C1975" s="5">
        <v>87.2</v>
      </c>
      <c r="D1975" s="5">
        <v>79.33</v>
      </c>
      <c r="E1975" s="5">
        <v>82.48</v>
      </c>
    </row>
    <row r="1976" spans="1:5">
      <c r="A1976" s="4" t="str">
        <f>"20228022428"</f>
        <v>20228022428</v>
      </c>
      <c r="B1976" s="4" t="str">
        <f t="shared" si="35"/>
        <v>20220312</v>
      </c>
      <c r="C1976" s="5">
        <v>88.7</v>
      </c>
      <c r="D1976" s="5">
        <v>93.48</v>
      </c>
      <c r="E1976" s="5">
        <v>91.57</v>
      </c>
    </row>
    <row r="1977" spans="1:5">
      <c r="A1977" s="4" t="str">
        <f>"20228022429"</f>
        <v>20228022429</v>
      </c>
      <c r="B1977" s="4" t="str">
        <f t="shared" si="35"/>
        <v>20220312</v>
      </c>
      <c r="C1977" s="5">
        <v>90.1</v>
      </c>
      <c r="D1977" s="5">
        <v>84.98</v>
      </c>
      <c r="E1977" s="5">
        <v>87.03</v>
      </c>
    </row>
    <row r="1978" spans="1:5">
      <c r="A1978" s="4" t="str">
        <f>"20228022430"</f>
        <v>20228022430</v>
      </c>
      <c r="B1978" s="4" t="str">
        <f t="shared" si="35"/>
        <v>20220312</v>
      </c>
      <c r="C1978" s="5">
        <v>0</v>
      </c>
      <c r="D1978" s="5">
        <v>0</v>
      </c>
      <c r="E1978" s="5">
        <v>0</v>
      </c>
    </row>
    <row r="1979" spans="1:5">
      <c r="A1979" s="4" t="str">
        <f>"20228022501"</f>
        <v>20228022501</v>
      </c>
      <c r="B1979" s="4" t="str">
        <f t="shared" si="35"/>
        <v>20220312</v>
      </c>
      <c r="C1979" s="5">
        <v>74.9</v>
      </c>
      <c r="D1979" s="5">
        <v>73.64</v>
      </c>
      <c r="E1979" s="5">
        <v>74.14</v>
      </c>
    </row>
    <row r="1980" spans="1:5">
      <c r="A1980" s="4" t="str">
        <f>"20228022502"</f>
        <v>20228022502</v>
      </c>
      <c r="B1980" s="4" t="str">
        <f t="shared" si="35"/>
        <v>20220312</v>
      </c>
      <c r="C1980" s="5">
        <v>0</v>
      </c>
      <c r="D1980" s="5">
        <v>0</v>
      </c>
      <c r="E1980" s="5">
        <v>0</v>
      </c>
    </row>
    <row r="1981" spans="1:5">
      <c r="A1981" s="4" t="str">
        <f>"20228022503"</f>
        <v>20228022503</v>
      </c>
      <c r="B1981" s="4" t="str">
        <f t="shared" si="35"/>
        <v>20220312</v>
      </c>
      <c r="C1981" s="5">
        <v>56</v>
      </c>
      <c r="D1981" s="5">
        <v>66.44</v>
      </c>
      <c r="E1981" s="5">
        <v>62.26</v>
      </c>
    </row>
    <row r="1982" spans="1:5">
      <c r="A1982" s="4" t="str">
        <f>"20228022504"</f>
        <v>20228022504</v>
      </c>
      <c r="B1982" s="4" t="str">
        <f t="shared" ref="B1982:B2017" si="36">"20220101"</f>
        <v>20220101</v>
      </c>
      <c r="C1982" s="5">
        <v>88.77</v>
      </c>
      <c r="D1982" s="5">
        <v>91.5</v>
      </c>
      <c r="E1982" s="5">
        <v>90.41</v>
      </c>
    </row>
    <row r="1983" spans="1:5">
      <c r="A1983" s="4" t="str">
        <f>"20228022505"</f>
        <v>20228022505</v>
      </c>
      <c r="B1983" s="4" t="str">
        <f t="shared" si="36"/>
        <v>20220101</v>
      </c>
      <c r="C1983" s="5">
        <v>86.45</v>
      </c>
      <c r="D1983" s="5">
        <v>90.4</v>
      </c>
      <c r="E1983" s="5">
        <v>88.82</v>
      </c>
    </row>
    <row r="1984" spans="1:5">
      <c r="A1984" s="4" t="str">
        <f>"20228022506"</f>
        <v>20228022506</v>
      </c>
      <c r="B1984" s="4" t="str">
        <f t="shared" si="36"/>
        <v>20220101</v>
      </c>
      <c r="C1984" s="5">
        <v>0</v>
      </c>
      <c r="D1984" s="5">
        <v>0</v>
      </c>
      <c r="E1984" s="5">
        <v>0</v>
      </c>
    </row>
    <row r="1985" spans="1:5">
      <c r="A1985" s="4" t="str">
        <f>"20228022507"</f>
        <v>20228022507</v>
      </c>
      <c r="B1985" s="4" t="str">
        <f t="shared" si="36"/>
        <v>20220101</v>
      </c>
      <c r="C1985" s="5">
        <v>0</v>
      </c>
      <c r="D1985" s="5">
        <v>0</v>
      </c>
      <c r="E1985" s="5">
        <v>0</v>
      </c>
    </row>
    <row r="1986" spans="1:5">
      <c r="A1986" s="4" t="str">
        <f>"20228022508"</f>
        <v>20228022508</v>
      </c>
      <c r="B1986" s="4" t="str">
        <f t="shared" si="36"/>
        <v>20220101</v>
      </c>
      <c r="C1986" s="5">
        <v>89.24</v>
      </c>
      <c r="D1986" s="5">
        <v>98.1</v>
      </c>
      <c r="E1986" s="5">
        <v>94.56</v>
      </c>
    </row>
    <row r="1987" spans="1:5">
      <c r="A1987" s="4" t="str">
        <f>"20228022509"</f>
        <v>20228022509</v>
      </c>
      <c r="B1987" s="4" t="str">
        <f t="shared" si="36"/>
        <v>20220101</v>
      </c>
      <c r="C1987" s="5">
        <v>87.97</v>
      </c>
      <c r="D1987" s="5">
        <v>82.9</v>
      </c>
      <c r="E1987" s="5">
        <v>84.93</v>
      </c>
    </row>
    <row r="1988" spans="1:5">
      <c r="A1988" s="4" t="str">
        <f>"20228022510"</f>
        <v>20228022510</v>
      </c>
      <c r="B1988" s="4" t="str">
        <f t="shared" si="36"/>
        <v>20220101</v>
      </c>
      <c r="C1988" s="5">
        <v>75.07</v>
      </c>
      <c r="D1988" s="5">
        <v>93.1</v>
      </c>
      <c r="E1988" s="5">
        <v>85.89</v>
      </c>
    </row>
    <row r="1989" spans="1:5">
      <c r="A1989" s="4" t="str">
        <f>"20228022511"</f>
        <v>20228022511</v>
      </c>
      <c r="B1989" s="4" t="str">
        <f t="shared" si="36"/>
        <v>20220101</v>
      </c>
      <c r="C1989" s="5">
        <v>68.69</v>
      </c>
      <c r="D1989" s="5">
        <v>79.6</v>
      </c>
      <c r="E1989" s="5">
        <v>75.24</v>
      </c>
    </row>
    <row r="1990" spans="1:5">
      <c r="A1990" s="4" t="str">
        <f>"20228022512"</f>
        <v>20228022512</v>
      </c>
      <c r="B1990" s="4" t="str">
        <f t="shared" si="36"/>
        <v>20220101</v>
      </c>
      <c r="C1990" s="5">
        <v>0</v>
      </c>
      <c r="D1990" s="5">
        <v>0</v>
      </c>
      <c r="E1990" s="5">
        <v>0</v>
      </c>
    </row>
    <row r="1991" spans="1:5">
      <c r="A1991" s="4" t="str">
        <f>"20228022513"</f>
        <v>20228022513</v>
      </c>
      <c r="B1991" s="4" t="str">
        <f t="shared" si="36"/>
        <v>20220101</v>
      </c>
      <c r="C1991" s="5">
        <v>68.53</v>
      </c>
      <c r="D1991" s="5">
        <v>86.6</v>
      </c>
      <c r="E1991" s="5">
        <v>79.37</v>
      </c>
    </row>
    <row r="1992" spans="1:5">
      <c r="A1992" s="4" t="str">
        <f>"20228022514"</f>
        <v>20228022514</v>
      </c>
      <c r="B1992" s="4" t="str">
        <f t="shared" si="36"/>
        <v>20220101</v>
      </c>
      <c r="C1992" s="5">
        <v>75.32</v>
      </c>
      <c r="D1992" s="5">
        <v>101.3</v>
      </c>
      <c r="E1992" s="5">
        <v>90.91</v>
      </c>
    </row>
    <row r="1993" spans="1:5">
      <c r="A1993" s="4" t="str">
        <f>"20228022515"</f>
        <v>20228022515</v>
      </c>
      <c r="B1993" s="4" t="str">
        <f t="shared" si="36"/>
        <v>20220101</v>
      </c>
      <c r="C1993" s="5">
        <v>79.41</v>
      </c>
      <c r="D1993" s="5">
        <v>91.3</v>
      </c>
      <c r="E1993" s="5">
        <v>86.54</v>
      </c>
    </row>
    <row r="1994" spans="1:5">
      <c r="A1994" s="4" t="str">
        <f>"20228022516"</f>
        <v>20228022516</v>
      </c>
      <c r="B1994" s="4" t="str">
        <f t="shared" si="36"/>
        <v>20220101</v>
      </c>
      <c r="C1994" s="5">
        <v>81.92</v>
      </c>
      <c r="D1994" s="5">
        <v>91.9</v>
      </c>
      <c r="E1994" s="5">
        <v>87.91</v>
      </c>
    </row>
    <row r="1995" spans="1:5">
      <c r="A1995" s="4" t="str">
        <f>"20228022517"</f>
        <v>20228022517</v>
      </c>
      <c r="B1995" s="4" t="str">
        <f t="shared" si="36"/>
        <v>20220101</v>
      </c>
      <c r="C1995" s="5">
        <v>81.57</v>
      </c>
      <c r="D1995" s="5">
        <v>94.6</v>
      </c>
      <c r="E1995" s="5">
        <v>89.39</v>
      </c>
    </row>
    <row r="1996" spans="1:5">
      <c r="A1996" s="4" t="str">
        <f>"20228022518"</f>
        <v>20228022518</v>
      </c>
      <c r="B1996" s="4" t="str">
        <f t="shared" si="36"/>
        <v>20220101</v>
      </c>
      <c r="C1996" s="5">
        <v>0</v>
      </c>
      <c r="D1996" s="5">
        <v>0</v>
      </c>
      <c r="E1996" s="5">
        <v>0</v>
      </c>
    </row>
    <row r="1997" spans="1:5">
      <c r="A1997" s="4" t="str">
        <f>"20228022519"</f>
        <v>20228022519</v>
      </c>
      <c r="B1997" s="4" t="str">
        <f t="shared" si="36"/>
        <v>20220101</v>
      </c>
      <c r="C1997" s="5">
        <v>78.52</v>
      </c>
      <c r="D1997" s="5">
        <v>92.9</v>
      </c>
      <c r="E1997" s="5">
        <v>87.15</v>
      </c>
    </row>
    <row r="1998" spans="1:5">
      <c r="A1998" s="4" t="str">
        <f>"20228022520"</f>
        <v>20228022520</v>
      </c>
      <c r="B1998" s="4" t="str">
        <f t="shared" si="36"/>
        <v>20220101</v>
      </c>
      <c r="C1998" s="5">
        <v>0</v>
      </c>
      <c r="D1998" s="5">
        <v>0</v>
      </c>
      <c r="E1998" s="5">
        <v>0</v>
      </c>
    </row>
    <row r="1999" spans="1:5">
      <c r="A1999" s="4" t="str">
        <f>"20228022521"</f>
        <v>20228022521</v>
      </c>
      <c r="B1999" s="4" t="str">
        <f t="shared" si="36"/>
        <v>20220101</v>
      </c>
      <c r="C1999" s="5">
        <v>71.12</v>
      </c>
      <c r="D1999" s="5">
        <v>91.3</v>
      </c>
      <c r="E1999" s="5">
        <v>83.23</v>
      </c>
    </row>
    <row r="2000" spans="1:5">
      <c r="A2000" s="4" t="str">
        <f>"20228022522"</f>
        <v>20228022522</v>
      </c>
      <c r="B2000" s="4" t="str">
        <f t="shared" si="36"/>
        <v>20220101</v>
      </c>
      <c r="C2000" s="5">
        <v>0</v>
      </c>
      <c r="D2000" s="5">
        <v>0</v>
      </c>
      <c r="E2000" s="5">
        <v>0</v>
      </c>
    </row>
    <row r="2001" spans="1:5">
      <c r="A2001" s="4" t="str">
        <f>"20228022523"</f>
        <v>20228022523</v>
      </c>
      <c r="B2001" s="4" t="str">
        <f t="shared" si="36"/>
        <v>20220101</v>
      </c>
      <c r="C2001" s="5">
        <v>0</v>
      </c>
      <c r="D2001" s="5">
        <v>0</v>
      </c>
      <c r="E2001" s="5">
        <v>0</v>
      </c>
    </row>
    <row r="2002" spans="1:5">
      <c r="A2002" s="4" t="str">
        <f>"20228022524"</f>
        <v>20228022524</v>
      </c>
      <c r="B2002" s="4" t="str">
        <f t="shared" si="36"/>
        <v>20220101</v>
      </c>
      <c r="C2002" s="5">
        <v>77.9</v>
      </c>
      <c r="D2002" s="5">
        <v>81.6</v>
      </c>
      <c r="E2002" s="5">
        <v>80.12</v>
      </c>
    </row>
    <row r="2003" spans="1:5">
      <c r="A2003" s="4" t="str">
        <f>"20228022525"</f>
        <v>20228022525</v>
      </c>
      <c r="B2003" s="4" t="str">
        <f t="shared" si="36"/>
        <v>20220101</v>
      </c>
      <c r="C2003" s="5">
        <v>97.83</v>
      </c>
      <c r="D2003" s="5">
        <v>95.6</v>
      </c>
      <c r="E2003" s="5">
        <v>96.49</v>
      </c>
    </row>
    <row r="2004" spans="1:5">
      <c r="A2004" s="4" t="str">
        <f>"20228022526"</f>
        <v>20228022526</v>
      </c>
      <c r="B2004" s="4" t="str">
        <f t="shared" si="36"/>
        <v>20220101</v>
      </c>
      <c r="C2004" s="5">
        <v>0</v>
      </c>
      <c r="D2004" s="5">
        <v>0</v>
      </c>
      <c r="E2004" s="5">
        <v>0</v>
      </c>
    </row>
    <row r="2005" spans="1:5">
      <c r="A2005" s="4" t="str">
        <f>"20228022527"</f>
        <v>20228022527</v>
      </c>
      <c r="B2005" s="4" t="str">
        <f t="shared" si="36"/>
        <v>20220101</v>
      </c>
      <c r="C2005" s="5">
        <v>95.33</v>
      </c>
      <c r="D2005" s="5">
        <v>97.3</v>
      </c>
      <c r="E2005" s="5">
        <v>96.51</v>
      </c>
    </row>
    <row r="2006" spans="1:5">
      <c r="A2006" s="4" t="str">
        <f>"20228022528"</f>
        <v>20228022528</v>
      </c>
      <c r="B2006" s="4" t="str">
        <f t="shared" si="36"/>
        <v>20220101</v>
      </c>
      <c r="C2006" s="5">
        <v>85.25</v>
      </c>
      <c r="D2006" s="5">
        <v>96.5</v>
      </c>
      <c r="E2006" s="5">
        <v>92</v>
      </c>
    </row>
    <row r="2007" spans="1:5">
      <c r="A2007" s="4" t="str">
        <f>"20228022529"</f>
        <v>20228022529</v>
      </c>
      <c r="B2007" s="4" t="str">
        <f t="shared" si="36"/>
        <v>20220101</v>
      </c>
      <c r="C2007" s="5">
        <v>84.14</v>
      </c>
      <c r="D2007" s="5">
        <v>95.1</v>
      </c>
      <c r="E2007" s="5">
        <v>90.72</v>
      </c>
    </row>
    <row r="2008" spans="1:5">
      <c r="A2008" s="4" t="str">
        <f>"20228022530"</f>
        <v>20228022530</v>
      </c>
      <c r="B2008" s="4" t="str">
        <f t="shared" si="36"/>
        <v>20220101</v>
      </c>
      <c r="C2008" s="5">
        <v>79.9</v>
      </c>
      <c r="D2008" s="5">
        <v>93.8</v>
      </c>
      <c r="E2008" s="5">
        <v>88.24</v>
      </c>
    </row>
    <row r="2009" spans="1:5">
      <c r="A2009" s="4" t="str">
        <f>"20228022601"</f>
        <v>20228022601</v>
      </c>
      <c r="B2009" s="4" t="str">
        <f t="shared" si="36"/>
        <v>20220101</v>
      </c>
      <c r="C2009" s="5">
        <v>0</v>
      </c>
      <c r="D2009" s="5">
        <v>0</v>
      </c>
      <c r="E2009" s="5">
        <v>0</v>
      </c>
    </row>
    <row r="2010" spans="1:5">
      <c r="A2010" s="4" t="str">
        <f>"20228022602"</f>
        <v>20228022602</v>
      </c>
      <c r="B2010" s="4" t="str">
        <f t="shared" si="36"/>
        <v>20220101</v>
      </c>
      <c r="C2010" s="5">
        <v>93.89</v>
      </c>
      <c r="D2010" s="5">
        <v>90.9</v>
      </c>
      <c r="E2010" s="5">
        <v>92.1</v>
      </c>
    </row>
    <row r="2011" spans="1:5">
      <c r="A2011" s="4" t="str">
        <f>"20228022603"</f>
        <v>20228022603</v>
      </c>
      <c r="B2011" s="4" t="str">
        <f t="shared" si="36"/>
        <v>20220101</v>
      </c>
      <c r="C2011" s="5">
        <v>82.13</v>
      </c>
      <c r="D2011" s="5">
        <v>97.8</v>
      </c>
      <c r="E2011" s="5">
        <v>91.53</v>
      </c>
    </row>
    <row r="2012" spans="1:5">
      <c r="A2012" s="4" t="str">
        <f>"20228022604"</f>
        <v>20228022604</v>
      </c>
      <c r="B2012" s="4" t="str">
        <f t="shared" si="36"/>
        <v>20220101</v>
      </c>
      <c r="C2012" s="5">
        <v>70.87</v>
      </c>
      <c r="D2012" s="5">
        <v>89.5</v>
      </c>
      <c r="E2012" s="5">
        <v>82.05</v>
      </c>
    </row>
    <row r="2013" spans="1:5">
      <c r="A2013" s="4" t="str">
        <f>"20228022605"</f>
        <v>20228022605</v>
      </c>
      <c r="B2013" s="4" t="str">
        <f t="shared" si="36"/>
        <v>20220101</v>
      </c>
      <c r="C2013" s="5">
        <v>83.01</v>
      </c>
      <c r="D2013" s="5">
        <v>88.1</v>
      </c>
      <c r="E2013" s="5">
        <v>86.06</v>
      </c>
    </row>
    <row r="2014" spans="1:5">
      <c r="A2014" s="4" t="str">
        <f>"20228022606"</f>
        <v>20228022606</v>
      </c>
      <c r="B2014" s="4" t="str">
        <f t="shared" si="36"/>
        <v>20220101</v>
      </c>
      <c r="C2014" s="5">
        <v>0</v>
      </c>
      <c r="D2014" s="5">
        <v>0</v>
      </c>
      <c r="E2014" s="5">
        <v>0</v>
      </c>
    </row>
    <row r="2015" spans="1:5">
      <c r="A2015" s="4" t="str">
        <f>"20228022607"</f>
        <v>20228022607</v>
      </c>
      <c r="B2015" s="4" t="str">
        <f t="shared" si="36"/>
        <v>20220101</v>
      </c>
      <c r="C2015" s="5">
        <v>86.36</v>
      </c>
      <c r="D2015" s="5">
        <v>92.9</v>
      </c>
      <c r="E2015" s="5">
        <v>90.28</v>
      </c>
    </row>
    <row r="2016" spans="1:5">
      <c r="A2016" s="4" t="str">
        <f>"20228022608"</f>
        <v>20228022608</v>
      </c>
      <c r="B2016" s="4" t="str">
        <f t="shared" si="36"/>
        <v>20220101</v>
      </c>
      <c r="C2016" s="5">
        <v>0</v>
      </c>
      <c r="D2016" s="5">
        <v>0</v>
      </c>
      <c r="E2016" s="5">
        <v>0</v>
      </c>
    </row>
    <row r="2017" spans="1:5">
      <c r="A2017" s="4" t="str">
        <f>"20228022609"</f>
        <v>20228022609</v>
      </c>
      <c r="B2017" s="4" t="str">
        <f t="shared" si="36"/>
        <v>20220101</v>
      </c>
      <c r="C2017" s="5">
        <v>0</v>
      </c>
      <c r="D2017" s="5">
        <v>0</v>
      </c>
      <c r="E2017" s="5">
        <v>0</v>
      </c>
    </row>
    <row r="2018" spans="1:5">
      <c r="A2018" s="4" t="str">
        <f>"20228022610"</f>
        <v>20228022610</v>
      </c>
      <c r="B2018" s="4" t="str">
        <f t="shared" ref="B2018:B2081" si="37">"20220201"</f>
        <v>20220201</v>
      </c>
      <c r="C2018" s="5">
        <v>79.91</v>
      </c>
      <c r="D2018" s="5">
        <v>91.9</v>
      </c>
      <c r="E2018" s="5">
        <v>87.1</v>
      </c>
    </row>
    <row r="2019" spans="1:5">
      <c r="A2019" s="4" t="str">
        <f>"20228022611"</f>
        <v>20228022611</v>
      </c>
      <c r="B2019" s="4" t="str">
        <f t="shared" si="37"/>
        <v>20220201</v>
      </c>
      <c r="C2019" s="5">
        <v>80.23</v>
      </c>
      <c r="D2019" s="5">
        <v>97.9</v>
      </c>
      <c r="E2019" s="5">
        <v>90.83</v>
      </c>
    </row>
    <row r="2020" spans="1:5">
      <c r="A2020" s="4" t="str">
        <f>"20228022612"</f>
        <v>20228022612</v>
      </c>
      <c r="B2020" s="4" t="str">
        <f t="shared" si="37"/>
        <v>20220201</v>
      </c>
      <c r="C2020" s="5">
        <v>0</v>
      </c>
      <c r="D2020" s="5">
        <v>0</v>
      </c>
      <c r="E2020" s="5">
        <v>0</v>
      </c>
    </row>
    <row r="2021" spans="1:5">
      <c r="A2021" s="4" t="str">
        <f>"20228022613"</f>
        <v>20228022613</v>
      </c>
      <c r="B2021" s="4" t="str">
        <f t="shared" si="37"/>
        <v>20220201</v>
      </c>
      <c r="C2021" s="5">
        <v>0</v>
      </c>
      <c r="D2021" s="5">
        <v>0</v>
      </c>
      <c r="E2021" s="5">
        <v>0</v>
      </c>
    </row>
    <row r="2022" spans="1:5">
      <c r="A2022" s="4" t="str">
        <f>"20228022614"</f>
        <v>20228022614</v>
      </c>
      <c r="B2022" s="4" t="str">
        <f t="shared" si="37"/>
        <v>20220201</v>
      </c>
      <c r="C2022" s="5">
        <v>87.25</v>
      </c>
      <c r="D2022" s="5">
        <v>101.4</v>
      </c>
      <c r="E2022" s="5">
        <v>95.74</v>
      </c>
    </row>
    <row r="2023" spans="1:5">
      <c r="A2023" s="4" t="str">
        <f>"20228022615"</f>
        <v>20228022615</v>
      </c>
      <c r="B2023" s="4" t="str">
        <f t="shared" si="37"/>
        <v>20220201</v>
      </c>
      <c r="C2023" s="5">
        <v>0</v>
      </c>
      <c r="D2023" s="5">
        <v>0</v>
      </c>
      <c r="E2023" s="5">
        <v>0</v>
      </c>
    </row>
    <row r="2024" spans="1:5">
      <c r="A2024" s="4" t="str">
        <f>"20228022616"</f>
        <v>20228022616</v>
      </c>
      <c r="B2024" s="4" t="str">
        <f t="shared" si="37"/>
        <v>20220201</v>
      </c>
      <c r="C2024" s="5">
        <v>0</v>
      </c>
      <c r="D2024" s="5">
        <v>0</v>
      </c>
      <c r="E2024" s="5">
        <v>0</v>
      </c>
    </row>
    <row r="2025" spans="1:5">
      <c r="A2025" s="4" t="str">
        <f>"20228022617"</f>
        <v>20228022617</v>
      </c>
      <c r="B2025" s="4" t="str">
        <f t="shared" si="37"/>
        <v>20220201</v>
      </c>
      <c r="C2025" s="5">
        <v>0</v>
      </c>
      <c r="D2025" s="5">
        <v>0</v>
      </c>
      <c r="E2025" s="5">
        <v>0</v>
      </c>
    </row>
    <row r="2026" spans="1:5">
      <c r="A2026" s="4" t="str">
        <f>"20228022618"</f>
        <v>20228022618</v>
      </c>
      <c r="B2026" s="4" t="str">
        <f t="shared" si="37"/>
        <v>20220201</v>
      </c>
      <c r="C2026" s="5">
        <v>85.75</v>
      </c>
      <c r="D2026" s="5">
        <v>95.1</v>
      </c>
      <c r="E2026" s="5">
        <v>91.36</v>
      </c>
    </row>
    <row r="2027" spans="1:5">
      <c r="A2027" s="4" t="str">
        <f>"20228022619"</f>
        <v>20228022619</v>
      </c>
      <c r="B2027" s="4" t="str">
        <f t="shared" si="37"/>
        <v>20220201</v>
      </c>
      <c r="C2027" s="5">
        <v>85.66</v>
      </c>
      <c r="D2027" s="5">
        <v>92</v>
      </c>
      <c r="E2027" s="5">
        <v>89.46</v>
      </c>
    </row>
    <row r="2028" spans="1:5">
      <c r="A2028" s="4" t="str">
        <f>"20228022620"</f>
        <v>20228022620</v>
      </c>
      <c r="B2028" s="4" t="str">
        <f t="shared" si="37"/>
        <v>20220201</v>
      </c>
      <c r="C2028" s="5">
        <v>0</v>
      </c>
      <c r="D2028" s="5">
        <v>0</v>
      </c>
      <c r="E2028" s="5">
        <v>0</v>
      </c>
    </row>
    <row r="2029" spans="1:5">
      <c r="A2029" s="4" t="str">
        <f>"20228022621"</f>
        <v>20228022621</v>
      </c>
      <c r="B2029" s="4" t="str">
        <f t="shared" si="37"/>
        <v>20220201</v>
      </c>
      <c r="C2029" s="5">
        <v>77.31</v>
      </c>
      <c r="D2029" s="5">
        <v>88.4</v>
      </c>
      <c r="E2029" s="5">
        <v>83.96</v>
      </c>
    </row>
    <row r="2030" spans="1:5">
      <c r="A2030" s="4" t="str">
        <f>"20228022622"</f>
        <v>20228022622</v>
      </c>
      <c r="B2030" s="4" t="str">
        <f t="shared" si="37"/>
        <v>20220201</v>
      </c>
      <c r="C2030" s="5">
        <v>0</v>
      </c>
      <c r="D2030" s="5">
        <v>0</v>
      </c>
      <c r="E2030" s="5">
        <v>0</v>
      </c>
    </row>
    <row r="2031" spans="1:5">
      <c r="A2031" s="4" t="str">
        <f>"20228022623"</f>
        <v>20228022623</v>
      </c>
      <c r="B2031" s="4" t="str">
        <f t="shared" si="37"/>
        <v>20220201</v>
      </c>
      <c r="C2031" s="5">
        <v>86.06</v>
      </c>
      <c r="D2031" s="5">
        <v>98</v>
      </c>
      <c r="E2031" s="5">
        <v>93.22</v>
      </c>
    </row>
    <row r="2032" spans="1:5">
      <c r="A2032" s="4" t="str">
        <f>"20228022624"</f>
        <v>20228022624</v>
      </c>
      <c r="B2032" s="4" t="str">
        <f t="shared" si="37"/>
        <v>20220201</v>
      </c>
      <c r="C2032" s="5">
        <v>0</v>
      </c>
      <c r="D2032" s="5">
        <v>0</v>
      </c>
      <c r="E2032" s="5">
        <v>0</v>
      </c>
    </row>
    <row r="2033" spans="1:5">
      <c r="A2033" s="4" t="str">
        <f>"20228022625"</f>
        <v>20228022625</v>
      </c>
      <c r="B2033" s="4" t="str">
        <f t="shared" si="37"/>
        <v>20220201</v>
      </c>
      <c r="C2033" s="5">
        <v>80.06</v>
      </c>
      <c r="D2033" s="5">
        <v>88.7</v>
      </c>
      <c r="E2033" s="5">
        <v>85.24</v>
      </c>
    </row>
    <row r="2034" spans="1:5">
      <c r="A2034" s="4" t="str">
        <f>"20228022626"</f>
        <v>20228022626</v>
      </c>
      <c r="B2034" s="4" t="str">
        <f t="shared" si="37"/>
        <v>20220201</v>
      </c>
      <c r="C2034" s="5">
        <v>71.28</v>
      </c>
      <c r="D2034" s="5">
        <v>86</v>
      </c>
      <c r="E2034" s="5">
        <v>80.11</v>
      </c>
    </row>
    <row r="2035" spans="1:5">
      <c r="A2035" s="4" t="str">
        <f>"20228022627"</f>
        <v>20228022627</v>
      </c>
      <c r="B2035" s="4" t="str">
        <f t="shared" si="37"/>
        <v>20220201</v>
      </c>
      <c r="C2035" s="5">
        <v>75.8</v>
      </c>
      <c r="D2035" s="5">
        <v>89</v>
      </c>
      <c r="E2035" s="5">
        <v>83.72</v>
      </c>
    </row>
    <row r="2036" spans="1:5">
      <c r="A2036" s="4" t="str">
        <f>"20228022628"</f>
        <v>20228022628</v>
      </c>
      <c r="B2036" s="4" t="str">
        <f t="shared" si="37"/>
        <v>20220201</v>
      </c>
      <c r="C2036" s="5">
        <v>78.92</v>
      </c>
      <c r="D2036" s="5">
        <v>86.4</v>
      </c>
      <c r="E2036" s="5">
        <v>83.41</v>
      </c>
    </row>
    <row r="2037" spans="1:5">
      <c r="A2037" s="4" t="str">
        <f>"20228022629"</f>
        <v>20228022629</v>
      </c>
      <c r="B2037" s="4" t="str">
        <f t="shared" si="37"/>
        <v>20220201</v>
      </c>
      <c r="C2037" s="5">
        <v>0</v>
      </c>
      <c r="D2037" s="5">
        <v>0</v>
      </c>
      <c r="E2037" s="5">
        <v>0</v>
      </c>
    </row>
    <row r="2038" spans="1:5">
      <c r="A2038" s="4" t="str">
        <f>"20228022630"</f>
        <v>20228022630</v>
      </c>
      <c r="B2038" s="4" t="str">
        <f t="shared" si="37"/>
        <v>20220201</v>
      </c>
      <c r="C2038" s="5">
        <v>0</v>
      </c>
      <c r="D2038" s="5">
        <v>0</v>
      </c>
      <c r="E2038" s="5">
        <v>0</v>
      </c>
    </row>
    <row r="2039" spans="1:5">
      <c r="A2039" s="4" t="str">
        <f>"20228022701"</f>
        <v>20228022701</v>
      </c>
      <c r="B2039" s="4" t="str">
        <f t="shared" si="37"/>
        <v>20220201</v>
      </c>
      <c r="C2039" s="5">
        <v>63.99</v>
      </c>
      <c r="D2039" s="5">
        <v>92.4</v>
      </c>
      <c r="E2039" s="5">
        <v>81.04</v>
      </c>
    </row>
    <row r="2040" spans="1:5">
      <c r="A2040" s="4" t="str">
        <f>"20228022702"</f>
        <v>20228022702</v>
      </c>
      <c r="B2040" s="4" t="str">
        <f t="shared" si="37"/>
        <v>20220201</v>
      </c>
      <c r="C2040" s="5">
        <v>0</v>
      </c>
      <c r="D2040" s="5">
        <v>0</v>
      </c>
      <c r="E2040" s="5">
        <v>0</v>
      </c>
    </row>
    <row r="2041" spans="1:5">
      <c r="A2041" s="4" t="str">
        <f>"20228022703"</f>
        <v>20228022703</v>
      </c>
      <c r="B2041" s="4" t="str">
        <f t="shared" si="37"/>
        <v>20220201</v>
      </c>
      <c r="C2041" s="5">
        <v>85.12</v>
      </c>
      <c r="D2041" s="5">
        <v>95.5</v>
      </c>
      <c r="E2041" s="5">
        <v>91.35</v>
      </c>
    </row>
    <row r="2042" spans="1:5">
      <c r="A2042" s="4" t="str">
        <f>"20228022704"</f>
        <v>20228022704</v>
      </c>
      <c r="B2042" s="4" t="str">
        <f t="shared" si="37"/>
        <v>20220201</v>
      </c>
      <c r="C2042" s="5">
        <v>0</v>
      </c>
      <c r="D2042" s="5">
        <v>0</v>
      </c>
      <c r="E2042" s="5">
        <v>0</v>
      </c>
    </row>
    <row r="2043" spans="1:5">
      <c r="A2043" s="4" t="str">
        <f>"20228022705"</f>
        <v>20228022705</v>
      </c>
      <c r="B2043" s="4" t="str">
        <f t="shared" si="37"/>
        <v>20220201</v>
      </c>
      <c r="C2043" s="5">
        <v>0</v>
      </c>
      <c r="D2043" s="5">
        <v>0</v>
      </c>
      <c r="E2043" s="5">
        <v>0</v>
      </c>
    </row>
    <row r="2044" spans="1:5">
      <c r="A2044" s="4" t="str">
        <f>"20228022706"</f>
        <v>20228022706</v>
      </c>
      <c r="B2044" s="4" t="str">
        <f t="shared" si="37"/>
        <v>20220201</v>
      </c>
      <c r="C2044" s="5">
        <v>0</v>
      </c>
      <c r="D2044" s="5">
        <v>0</v>
      </c>
      <c r="E2044" s="5">
        <v>0</v>
      </c>
    </row>
    <row r="2045" spans="1:5">
      <c r="A2045" s="4" t="str">
        <f>"20228022707"</f>
        <v>20228022707</v>
      </c>
      <c r="B2045" s="4" t="str">
        <f t="shared" si="37"/>
        <v>20220201</v>
      </c>
      <c r="C2045" s="5">
        <v>0</v>
      </c>
      <c r="D2045" s="5">
        <v>0</v>
      </c>
      <c r="E2045" s="5">
        <v>0</v>
      </c>
    </row>
    <row r="2046" spans="1:5">
      <c r="A2046" s="4" t="str">
        <f>"20228022708"</f>
        <v>20228022708</v>
      </c>
      <c r="B2046" s="4" t="str">
        <f t="shared" si="37"/>
        <v>20220201</v>
      </c>
      <c r="C2046" s="5">
        <v>0</v>
      </c>
      <c r="D2046" s="5">
        <v>0</v>
      </c>
      <c r="E2046" s="5">
        <v>0</v>
      </c>
    </row>
    <row r="2047" spans="1:5">
      <c r="A2047" s="4" t="str">
        <f>"20228022709"</f>
        <v>20228022709</v>
      </c>
      <c r="B2047" s="4" t="str">
        <f t="shared" si="37"/>
        <v>20220201</v>
      </c>
      <c r="C2047" s="5">
        <v>73.76</v>
      </c>
      <c r="D2047" s="5">
        <v>91.5</v>
      </c>
      <c r="E2047" s="5">
        <v>84.4</v>
      </c>
    </row>
    <row r="2048" spans="1:5">
      <c r="A2048" s="4" t="str">
        <f>"20228022710"</f>
        <v>20228022710</v>
      </c>
      <c r="B2048" s="4" t="str">
        <f t="shared" si="37"/>
        <v>20220201</v>
      </c>
      <c r="C2048" s="5">
        <v>98.32</v>
      </c>
      <c r="D2048" s="5">
        <v>91.1</v>
      </c>
      <c r="E2048" s="5">
        <v>93.99</v>
      </c>
    </row>
    <row r="2049" spans="1:5">
      <c r="A2049" s="4" t="str">
        <f>"20228022711"</f>
        <v>20228022711</v>
      </c>
      <c r="B2049" s="4" t="str">
        <f t="shared" si="37"/>
        <v>20220201</v>
      </c>
      <c r="C2049" s="5">
        <v>86.26</v>
      </c>
      <c r="D2049" s="5">
        <v>88.8</v>
      </c>
      <c r="E2049" s="5">
        <v>87.78</v>
      </c>
    </row>
    <row r="2050" spans="1:5">
      <c r="A2050" s="4" t="str">
        <f>"20228022712"</f>
        <v>20228022712</v>
      </c>
      <c r="B2050" s="4" t="str">
        <f t="shared" si="37"/>
        <v>20220201</v>
      </c>
      <c r="C2050" s="5">
        <v>84.74</v>
      </c>
      <c r="D2050" s="5">
        <v>89.9</v>
      </c>
      <c r="E2050" s="5">
        <v>87.84</v>
      </c>
    </row>
    <row r="2051" spans="1:5">
      <c r="A2051" s="4" t="str">
        <f>"20228022713"</f>
        <v>20228022713</v>
      </c>
      <c r="B2051" s="4" t="str">
        <f t="shared" si="37"/>
        <v>20220201</v>
      </c>
      <c r="C2051" s="5">
        <v>82.97</v>
      </c>
      <c r="D2051" s="5">
        <v>95.9</v>
      </c>
      <c r="E2051" s="5">
        <v>90.73</v>
      </c>
    </row>
    <row r="2052" spans="1:5">
      <c r="A2052" s="4" t="str">
        <f>"20228022714"</f>
        <v>20228022714</v>
      </c>
      <c r="B2052" s="4" t="str">
        <f t="shared" si="37"/>
        <v>20220201</v>
      </c>
      <c r="C2052" s="5">
        <v>85.24</v>
      </c>
      <c r="D2052" s="5">
        <v>97.1</v>
      </c>
      <c r="E2052" s="5">
        <v>92.36</v>
      </c>
    </row>
    <row r="2053" spans="1:5">
      <c r="A2053" s="4" t="str">
        <f>"20228022715"</f>
        <v>20228022715</v>
      </c>
      <c r="B2053" s="4" t="str">
        <f t="shared" si="37"/>
        <v>20220201</v>
      </c>
      <c r="C2053" s="5">
        <v>0</v>
      </c>
      <c r="D2053" s="5">
        <v>0</v>
      </c>
      <c r="E2053" s="5">
        <v>0</v>
      </c>
    </row>
    <row r="2054" spans="1:5">
      <c r="A2054" s="4" t="str">
        <f>"20228022716"</f>
        <v>20228022716</v>
      </c>
      <c r="B2054" s="4" t="str">
        <f t="shared" si="37"/>
        <v>20220201</v>
      </c>
      <c r="C2054" s="5">
        <v>0</v>
      </c>
      <c r="D2054" s="5">
        <v>0</v>
      </c>
      <c r="E2054" s="5">
        <v>0</v>
      </c>
    </row>
    <row r="2055" spans="1:5">
      <c r="A2055" s="4" t="str">
        <f>"20228022717"</f>
        <v>20228022717</v>
      </c>
      <c r="B2055" s="4" t="str">
        <f t="shared" si="37"/>
        <v>20220201</v>
      </c>
      <c r="C2055" s="5">
        <v>0</v>
      </c>
      <c r="D2055" s="5">
        <v>0</v>
      </c>
      <c r="E2055" s="5">
        <v>0</v>
      </c>
    </row>
    <row r="2056" spans="1:5">
      <c r="A2056" s="4" t="str">
        <f>"20228022718"</f>
        <v>20228022718</v>
      </c>
      <c r="B2056" s="4" t="str">
        <f t="shared" si="37"/>
        <v>20220201</v>
      </c>
      <c r="C2056" s="5">
        <v>87.19</v>
      </c>
      <c r="D2056" s="5">
        <v>101.5</v>
      </c>
      <c r="E2056" s="5">
        <v>95.78</v>
      </c>
    </row>
    <row r="2057" spans="1:5">
      <c r="A2057" s="4" t="str">
        <f>"20228022719"</f>
        <v>20228022719</v>
      </c>
      <c r="B2057" s="4" t="str">
        <f t="shared" si="37"/>
        <v>20220201</v>
      </c>
      <c r="C2057" s="5">
        <v>99.67</v>
      </c>
      <c r="D2057" s="5">
        <v>93.6</v>
      </c>
      <c r="E2057" s="5">
        <v>96.03</v>
      </c>
    </row>
    <row r="2058" spans="1:5">
      <c r="A2058" s="4" t="str">
        <f>"20228022720"</f>
        <v>20228022720</v>
      </c>
      <c r="B2058" s="4" t="str">
        <f t="shared" si="37"/>
        <v>20220201</v>
      </c>
      <c r="C2058" s="5">
        <v>0</v>
      </c>
      <c r="D2058" s="5">
        <v>0</v>
      </c>
      <c r="E2058" s="5">
        <v>0</v>
      </c>
    </row>
    <row r="2059" spans="1:5">
      <c r="A2059" s="4" t="str">
        <f>"20228022721"</f>
        <v>20228022721</v>
      </c>
      <c r="B2059" s="4" t="str">
        <f t="shared" si="37"/>
        <v>20220201</v>
      </c>
      <c r="C2059" s="5">
        <v>71.16</v>
      </c>
      <c r="D2059" s="5">
        <v>91.5</v>
      </c>
      <c r="E2059" s="5">
        <v>83.36</v>
      </c>
    </row>
    <row r="2060" spans="1:5">
      <c r="A2060" s="4" t="str">
        <f>"20228022722"</f>
        <v>20228022722</v>
      </c>
      <c r="B2060" s="4" t="str">
        <f t="shared" si="37"/>
        <v>20220201</v>
      </c>
      <c r="C2060" s="5">
        <v>0</v>
      </c>
      <c r="D2060" s="5">
        <v>0</v>
      </c>
      <c r="E2060" s="5">
        <v>0</v>
      </c>
    </row>
    <row r="2061" spans="1:5">
      <c r="A2061" s="4" t="str">
        <f>"20228022723"</f>
        <v>20228022723</v>
      </c>
      <c r="B2061" s="4" t="str">
        <f t="shared" si="37"/>
        <v>20220201</v>
      </c>
      <c r="C2061" s="5">
        <v>64.3</v>
      </c>
      <c r="D2061" s="5">
        <v>77.1</v>
      </c>
      <c r="E2061" s="5">
        <v>71.98</v>
      </c>
    </row>
    <row r="2062" spans="1:5">
      <c r="A2062" s="4" t="str">
        <f>"20228022724"</f>
        <v>20228022724</v>
      </c>
      <c r="B2062" s="4" t="str">
        <f t="shared" si="37"/>
        <v>20220201</v>
      </c>
      <c r="C2062" s="5">
        <v>0</v>
      </c>
      <c r="D2062" s="5">
        <v>0</v>
      </c>
      <c r="E2062" s="5">
        <v>0</v>
      </c>
    </row>
    <row r="2063" spans="1:5">
      <c r="A2063" s="4" t="str">
        <f>"20228022725"</f>
        <v>20228022725</v>
      </c>
      <c r="B2063" s="4" t="str">
        <f t="shared" si="37"/>
        <v>20220201</v>
      </c>
      <c r="C2063" s="5">
        <v>83.76</v>
      </c>
      <c r="D2063" s="5">
        <v>94.2</v>
      </c>
      <c r="E2063" s="5">
        <v>90.02</v>
      </c>
    </row>
    <row r="2064" spans="1:5">
      <c r="A2064" s="4" t="str">
        <f>"20228022726"</f>
        <v>20228022726</v>
      </c>
      <c r="B2064" s="4" t="str">
        <f t="shared" si="37"/>
        <v>20220201</v>
      </c>
      <c r="C2064" s="5">
        <v>83.46</v>
      </c>
      <c r="D2064" s="5">
        <v>87.6</v>
      </c>
      <c r="E2064" s="5">
        <v>85.94</v>
      </c>
    </row>
    <row r="2065" spans="1:5">
      <c r="A2065" s="4" t="str">
        <f>"20228022727"</f>
        <v>20228022727</v>
      </c>
      <c r="B2065" s="4" t="str">
        <f t="shared" si="37"/>
        <v>20220201</v>
      </c>
      <c r="C2065" s="5">
        <v>0</v>
      </c>
      <c r="D2065" s="5">
        <v>0</v>
      </c>
      <c r="E2065" s="5">
        <v>0</v>
      </c>
    </row>
    <row r="2066" spans="1:5">
      <c r="A2066" s="4" t="str">
        <f>"20228022728"</f>
        <v>20228022728</v>
      </c>
      <c r="B2066" s="4" t="str">
        <f t="shared" si="37"/>
        <v>20220201</v>
      </c>
      <c r="C2066" s="5">
        <v>0</v>
      </c>
      <c r="D2066" s="5">
        <v>0</v>
      </c>
      <c r="E2066" s="5">
        <v>0</v>
      </c>
    </row>
    <row r="2067" spans="1:5">
      <c r="A2067" s="4" t="str">
        <f>"20228022729"</f>
        <v>20228022729</v>
      </c>
      <c r="B2067" s="4" t="str">
        <f t="shared" si="37"/>
        <v>20220201</v>
      </c>
      <c r="C2067" s="5">
        <v>0</v>
      </c>
      <c r="D2067" s="5">
        <v>0</v>
      </c>
      <c r="E2067" s="5">
        <v>0</v>
      </c>
    </row>
    <row r="2068" spans="1:5">
      <c r="A2068" s="4" t="str">
        <f>"20228022730"</f>
        <v>20228022730</v>
      </c>
      <c r="B2068" s="4" t="str">
        <f t="shared" si="37"/>
        <v>20220201</v>
      </c>
      <c r="C2068" s="5">
        <v>88.57</v>
      </c>
      <c r="D2068" s="5">
        <v>98.8</v>
      </c>
      <c r="E2068" s="5">
        <v>94.71</v>
      </c>
    </row>
    <row r="2069" spans="1:5">
      <c r="A2069" s="4" t="str">
        <f>"20228022801"</f>
        <v>20228022801</v>
      </c>
      <c r="B2069" s="4" t="str">
        <f t="shared" si="37"/>
        <v>20220201</v>
      </c>
      <c r="C2069" s="5">
        <v>0</v>
      </c>
      <c r="D2069" s="5">
        <v>0</v>
      </c>
      <c r="E2069" s="5">
        <v>0</v>
      </c>
    </row>
    <row r="2070" spans="1:5">
      <c r="A2070" s="4" t="str">
        <f>"20228022802"</f>
        <v>20228022802</v>
      </c>
      <c r="B2070" s="4" t="str">
        <f t="shared" si="37"/>
        <v>20220201</v>
      </c>
      <c r="C2070" s="5">
        <v>85.36</v>
      </c>
      <c r="D2070" s="5">
        <v>94.1</v>
      </c>
      <c r="E2070" s="5">
        <v>90.6</v>
      </c>
    </row>
    <row r="2071" spans="1:5">
      <c r="A2071" s="4" t="str">
        <f>"20228022803"</f>
        <v>20228022803</v>
      </c>
      <c r="B2071" s="4" t="str">
        <f t="shared" si="37"/>
        <v>20220201</v>
      </c>
      <c r="C2071" s="5">
        <v>83.51</v>
      </c>
      <c r="D2071" s="5">
        <v>91.5</v>
      </c>
      <c r="E2071" s="5">
        <v>88.3</v>
      </c>
    </row>
    <row r="2072" spans="1:5">
      <c r="A2072" s="4" t="str">
        <f>"20228022804"</f>
        <v>20228022804</v>
      </c>
      <c r="B2072" s="4" t="str">
        <f t="shared" si="37"/>
        <v>20220201</v>
      </c>
      <c r="C2072" s="5">
        <v>80.04</v>
      </c>
      <c r="D2072" s="5">
        <v>97.2</v>
      </c>
      <c r="E2072" s="5">
        <v>90.34</v>
      </c>
    </row>
    <row r="2073" spans="1:5">
      <c r="A2073" s="4" t="str">
        <f>"20228022805"</f>
        <v>20228022805</v>
      </c>
      <c r="B2073" s="4" t="str">
        <f t="shared" si="37"/>
        <v>20220201</v>
      </c>
      <c r="C2073" s="5">
        <v>88.44</v>
      </c>
      <c r="D2073" s="5">
        <v>95.9</v>
      </c>
      <c r="E2073" s="5">
        <v>92.92</v>
      </c>
    </row>
    <row r="2074" spans="1:5">
      <c r="A2074" s="4" t="str">
        <f>"20228022806"</f>
        <v>20228022806</v>
      </c>
      <c r="B2074" s="4" t="str">
        <f t="shared" si="37"/>
        <v>20220201</v>
      </c>
      <c r="C2074" s="5">
        <v>0</v>
      </c>
      <c r="D2074" s="5">
        <v>0</v>
      </c>
      <c r="E2074" s="5">
        <v>0</v>
      </c>
    </row>
    <row r="2075" spans="1:5">
      <c r="A2075" s="4" t="str">
        <f>"20228022807"</f>
        <v>20228022807</v>
      </c>
      <c r="B2075" s="4" t="str">
        <f t="shared" si="37"/>
        <v>20220201</v>
      </c>
      <c r="C2075" s="5">
        <v>94</v>
      </c>
      <c r="D2075" s="5">
        <v>94.6</v>
      </c>
      <c r="E2075" s="5">
        <v>94.36</v>
      </c>
    </row>
    <row r="2076" spans="1:5">
      <c r="A2076" s="4" t="str">
        <f>"20228022808"</f>
        <v>20228022808</v>
      </c>
      <c r="B2076" s="4" t="str">
        <f t="shared" si="37"/>
        <v>20220201</v>
      </c>
      <c r="C2076" s="5">
        <v>0</v>
      </c>
      <c r="D2076" s="5">
        <v>0</v>
      </c>
      <c r="E2076" s="5">
        <v>0</v>
      </c>
    </row>
    <row r="2077" spans="1:5">
      <c r="A2077" s="4" t="str">
        <f>"20228022809"</f>
        <v>20228022809</v>
      </c>
      <c r="B2077" s="4" t="str">
        <f t="shared" si="37"/>
        <v>20220201</v>
      </c>
      <c r="C2077" s="5">
        <v>0</v>
      </c>
      <c r="D2077" s="5">
        <v>0</v>
      </c>
      <c r="E2077" s="5">
        <v>0</v>
      </c>
    </row>
    <row r="2078" spans="1:5">
      <c r="A2078" s="4" t="str">
        <f>"20228022810"</f>
        <v>20228022810</v>
      </c>
      <c r="B2078" s="4" t="str">
        <f t="shared" si="37"/>
        <v>20220201</v>
      </c>
      <c r="C2078" s="5">
        <v>84.58</v>
      </c>
      <c r="D2078" s="5">
        <v>89.1</v>
      </c>
      <c r="E2078" s="5">
        <v>87.29</v>
      </c>
    </row>
    <row r="2079" spans="1:5">
      <c r="A2079" s="4" t="str">
        <f>"20228022811"</f>
        <v>20228022811</v>
      </c>
      <c r="B2079" s="4" t="str">
        <f t="shared" si="37"/>
        <v>20220201</v>
      </c>
      <c r="C2079" s="5">
        <v>0</v>
      </c>
      <c r="D2079" s="5">
        <v>0</v>
      </c>
      <c r="E2079" s="5">
        <v>0</v>
      </c>
    </row>
    <row r="2080" spans="1:5">
      <c r="A2080" s="4" t="str">
        <f>"20228022812"</f>
        <v>20228022812</v>
      </c>
      <c r="B2080" s="4" t="str">
        <f t="shared" si="37"/>
        <v>20220201</v>
      </c>
      <c r="C2080" s="5">
        <v>0</v>
      </c>
      <c r="D2080" s="5">
        <v>0</v>
      </c>
      <c r="E2080" s="5">
        <v>0</v>
      </c>
    </row>
    <row r="2081" spans="1:5">
      <c r="A2081" s="4" t="str">
        <f>"20228022813"</f>
        <v>20228022813</v>
      </c>
      <c r="B2081" s="4" t="str">
        <f t="shared" si="37"/>
        <v>20220201</v>
      </c>
      <c r="C2081" s="5">
        <v>0</v>
      </c>
      <c r="D2081" s="5">
        <v>0</v>
      </c>
      <c r="E2081" s="5">
        <v>0</v>
      </c>
    </row>
    <row r="2082" spans="1:5">
      <c r="A2082" s="4" t="str">
        <f>"20228022814"</f>
        <v>20228022814</v>
      </c>
      <c r="B2082" s="4" t="str">
        <f t="shared" ref="B2082:B2145" si="38">"20220201"</f>
        <v>20220201</v>
      </c>
      <c r="C2082" s="5">
        <v>0</v>
      </c>
      <c r="D2082" s="5">
        <v>0</v>
      </c>
      <c r="E2082" s="5">
        <v>0</v>
      </c>
    </row>
    <row r="2083" spans="1:5">
      <c r="A2083" s="4" t="str">
        <f>"20228022815"</f>
        <v>20228022815</v>
      </c>
      <c r="B2083" s="4" t="str">
        <f t="shared" si="38"/>
        <v>20220201</v>
      </c>
      <c r="C2083" s="5">
        <v>0</v>
      </c>
      <c r="D2083" s="5">
        <v>0</v>
      </c>
      <c r="E2083" s="5">
        <v>0</v>
      </c>
    </row>
    <row r="2084" spans="1:5">
      <c r="A2084" s="4" t="str">
        <f>"20228022816"</f>
        <v>20228022816</v>
      </c>
      <c r="B2084" s="4" t="str">
        <f t="shared" si="38"/>
        <v>20220201</v>
      </c>
      <c r="C2084" s="5">
        <v>78.15</v>
      </c>
      <c r="D2084" s="5">
        <v>91.6</v>
      </c>
      <c r="E2084" s="5">
        <v>86.22</v>
      </c>
    </row>
    <row r="2085" spans="1:5">
      <c r="A2085" s="4" t="str">
        <f>"20228022817"</f>
        <v>20228022817</v>
      </c>
      <c r="B2085" s="4" t="str">
        <f t="shared" si="38"/>
        <v>20220201</v>
      </c>
      <c r="C2085" s="5">
        <v>87.42</v>
      </c>
      <c r="D2085" s="5">
        <v>95.6</v>
      </c>
      <c r="E2085" s="5">
        <v>92.33</v>
      </c>
    </row>
    <row r="2086" spans="1:5">
      <c r="A2086" s="4" t="str">
        <f>"20228022818"</f>
        <v>20228022818</v>
      </c>
      <c r="B2086" s="4" t="str">
        <f t="shared" si="38"/>
        <v>20220201</v>
      </c>
      <c r="C2086" s="5">
        <v>86.38</v>
      </c>
      <c r="D2086" s="5">
        <v>95.5</v>
      </c>
      <c r="E2086" s="5">
        <v>91.85</v>
      </c>
    </row>
    <row r="2087" spans="1:5">
      <c r="A2087" s="4" t="str">
        <f>"20228022819"</f>
        <v>20228022819</v>
      </c>
      <c r="B2087" s="4" t="str">
        <f t="shared" si="38"/>
        <v>20220201</v>
      </c>
      <c r="C2087" s="5">
        <v>0</v>
      </c>
      <c r="D2087" s="5">
        <v>0</v>
      </c>
      <c r="E2087" s="5">
        <v>0</v>
      </c>
    </row>
    <row r="2088" spans="1:5">
      <c r="A2088" s="4" t="str">
        <f>"20228022820"</f>
        <v>20228022820</v>
      </c>
      <c r="B2088" s="4" t="str">
        <f t="shared" si="38"/>
        <v>20220201</v>
      </c>
      <c r="C2088" s="5">
        <v>88.51</v>
      </c>
      <c r="D2088" s="5">
        <v>95.9</v>
      </c>
      <c r="E2088" s="5">
        <v>92.94</v>
      </c>
    </row>
    <row r="2089" spans="1:5">
      <c r="A2089" s="4" t="str">
        <f>"20228022821"</f>
        <v>20228022821</v>
      </c>
      <c r="B2089" s="4" t="str">
        <f t="shared" si="38"/>
        <v>20220201</v>
      </c>
      <c r="C2089" s="5">
        <v>83.95</v>
      </c>
      <c r="D2089" s="5">
        <v>92.6</v>
      </c>
      <c r="E2089" s="5">
        <v>89.14</v>
      </c>
    </row>
    <row r="2090" spans="1:5">
      <c r="A2090" s="4" t="str">
        <f>"20228022822"</f>
        <v>20228022822</v>
      </c>
      <c r="B2090" s="4" t="str">
        <f t="shared" si="38"/>
        <v>20220201</v>
      </c>
      <c r="C2090" s="5">
        <v>85.96</v>
      </c>
      <c r="D2090" s="5">
        <v>90.9</v>
      </c>
      <c r="E2090" s="5">
        <v>88.92</v>
      </c>
    </row>
    <row r="2091" spans="1:5">
      <c r="A2091" s="4" t="str">
        <f>"20228022823"</f>
        <v>20228022823</v>
      </c>
      <c r="B2091" s="4" t="str">
        <f t="shared" si="38"/>
        <v>20220201</v>
      </c>
      <c r="C2091" s="5">
        <v>76.59</v>
      </c>
      <c r="D2091" s="5">
        <v>91.7</v>
      </c>
      <c r="E2091" s="5">
        <v>85.66</v>
      </c>
    </row>
    <row r="2092" spans="1:5">
      <c r="A2092" s="4" t="str">
        <f>"20228022824"</f>
        <v>20228022824</v>
      </c>
      <c r="B2092" s="4" t="str">
        <f t="shared" si="38"/>
        <v>20220201</v>
      </c>
      <c r="C2092" s="5">
        <v>0</v>
      </c>
      <c r="D2092" s="5">
        <v>0</v>
      </c>
      <c r="E2092" s="5">
        <v>0</v>
      </c>
    </row>
    <row r="2093" spans="1:5">
      <c r="A2093" s="4" t="str">
        <f>"20228022825"</f>
        <v>20228022825</v>
      </c>
      <c r="B2093" s="4" t="str">
        <f t="shared" si="38"/>
        <v>20220201</v>
      </c>
      <c r="C2093" s="5">
        <v>0</v>
      </c>
      <c r="D2093" s="5">
        <v>47.5</v>
      </c>
      <c r="E2093" s="5">
        <v>28.5</v>
      </c>
    </row>
    <row r="2094" spans="1:5">
      <c r="A2094" s="4" t="str">
        <f>"20228022826"</f>
        <v>20228022826</v>
      </c>
      <c r="B2094" s="4" t="str">
        <f t="shared" si="38"/>
        <v>20220201</v>
      </c>
      <c r="C2094" s="5">
        <v>0</v>
      </c>
      <c r="D2094" s="5">
        <v>0</v>
      </c>
      <c r="E2094" s="5">
        <v>0</v>
      </c>
    </row>
    <row r="2095" spans="1:5">
      <c r="A2095" s="4" t="str">
        <f>"20228022827"</f>
        <v>20228022827</v>
      </c>
      <c r="B2095" s="4" t="str">
        <f t="shared" si="38"/>
        <v>20220201</v>
      </c>
      <c r="C2095" s="5">
        <v>0</v>
      </c>
      <c r="D2095" s="5">
        <v>0</v>
      </c>
      <c r="E2095" s="5">
        <v>0</v>
      </c>
    </row>
    <row r="2096" spans="1:5">
      <c r="A2096" s="4" t="str">
        <f>"20228022828"</f>
        <v>20228022828</v>
      </c>
      <c r="B2096" s="4" t="str">
        <f t="shared" si="38"/>
        <v>20220201</v>
      </c>
      <c r="C2096" s="5">
        <v>0</v>
      </c>
      <c r="D2096" s="5">
        <v>0</v>
      </c>
      <c r="E2096" s="5">
        <v>0</v>
      </c>
    </row>
    <row r="2097" spans="1:5">
      <c r="A2097" s="4" t="str">
        <f>"20228022829"</f>
        <v>20228022829</v>
      </c>
      <c r="B2097" s="4" t="str">
        <f t="shared" si="38"/>
        <v>20220201</v>
      </c>
      <c r="C2097" s="5">
        <v>83.56</v>
      </c>
      <c r="D2097" s="5">
        <v>92.6</v>
      </c>
      <c r="E2097" s="5">
        <v>88.98</v>
      </c>
    </row>
    <row r="2098" spans="1:5">
      <c r="A2098" s="4" t="str">
        <f>"20228022830"</f>
        <v>20228022830</v>
      </c>
      <c r="B2098" s="4" t="str">
        <f t="shared" si="38"/>
        <v>20220201</v>
      </c>
      <c r="C2098" s="5">
        <v>0</v>
      </c>
      <c r="D2098" s="5">
        <v>0</v>
      </c>
      <c r="E2098" s="5">
        <v>0</v>
      </c>
    </row>
    <row r="2099" spans="1:5">
      <c r="A2099" s="4" t="str">
        <f>"20228022901"</f>
        <v>20228022901</v>
      </c>
      <c r="B2099" s="4" t="str">
        <f t="shared" si="38"/>
        <v>20220201</v>
      </c>
      <c r="C2099" s="5">
        <v>87.34</v>
      </c>
      <c r="D2099" s="5">
        <v>93</v>
      </c>
      <c r="E2099" s="5">
        <v>90.74</v>
      </c>
    </row>
    <row r="2100" spans="1:5">
      <c r="A2100" s="4" t="str">
        <f>"20228022902"</f>
        <v>20228022902</v>
      </c>
      <c r="B2100" s="4" t="str">
        <f t="shared" si="38"/>
        <v>20220201</v>
      </c>
      <c r="C2100" s="5">
        <v>85.11</v>
      </c>
      <c r="D2100" s="5">
        <v>93.6</v>
      </c>
      <c r="E2100" s="5">
        <v>90.2</v>
      </c>
    </row>
    <row r="2101" spans="1:5">
      <c r="A2101" s="4" t="str">
        <f>"20228022903"</f>
        <v>20228022903</v>
      </c>
      <c r="B2101" s="4" t="str">
        <f t="shared" si="38"/>
        <v>20220201</v>
      </c>
      <c r="C2101" s="5">
        <v>0</v>
      </c>
      <c r="D2101" s="5">
        <v>0</v>
      </c>
      <c r="E2101" s="5">
        <v>0</v>
      </c>
    </row>
    <row r="2102" spans="1:5">
      <c r="A2102" s="4" t="str">
        <f>"20228022904"</f>
        <v>20228022904</v>
      </c>
      <c r="B2102" s="4" t="str">
        <f t="shared" si="38"/>
        <v>20220201</v>
      </c>
      <c r="C2102" s="5">
        <v>65.85</v>
      </c>
      <c r="D2102" s="5">
        <v>90.4</v>
      </c>
      <c r="E2102" s="5">
        <v>80.58</v>
      </c>
    </row>
    <row r="2103" spans="1:5">
      <c r="A2103" s="4" t="str">
        <f>"20228022905"</f>
        <v>20228022905</v>
      </c>
      <c r="B2103" s="4" t="str">
        <f t="shared" si="38"/>
        <v>20220201</v>
      </c>
      <c r="C2103" s="5">
        <v>0</v>
      </c>
      <c r="D2103" s="5">
        <v>0</v>
      </c>
      <c r="E2103" s="5">
        <v>0</v>
      </c>
    </row>
    <row r="2104" spans="1:5">
      <c r="A2104" s="4" t="str">
        <f>"20228022906"</f>
        <v>20228022906</v>
      </c>
      <c r="B2104" s="4" t="str">
        <f t="shared" si="38"/>
        <v>20220201</v>
      </c>
      <c r="C2104" s="5">
        <v>73.52</v>
      </c>
      <c r="D2104" s="5">
        <v>85.4</v>
      </c>
      <c r="E2104" s="5">
        <v>80.65</v>
      </c>
    </row>
    <row r="2105" spans="1:5">
      <c r="A2105" s="4" t="str">
        <f>"20228022907"</f>
        <v>20228022907</v>
      </c>
      <c r="B2105" s="4" t="str">
        <f t="shared" si="38"/>
        <v>20220201</v>
      </c>
      <c r="C2105" s="5">
        <v>0</v>
      </c>
      <c r="D2105" s="5">
        <v>0</v>
      </c>
      <c r="E2105" s="5">
        <v>0</v>
      </c>
    </row>
    <row r="2106" spans="1:5">
      <c r="A2106" s="4" t="str">
        <f>"20228022908"</f>
        <v>20228022908</v>
      </c>
      <c r="B2106" s="4" t="str">
        <f t="shared" si="38"/>
        <v>20220201</v>
      </c>
      <c r="C2106" s="5">
        <v>93.93</v>
      </c>
      <c r="D2106" s="5">
        <v>94.6</v>
      </c>
      <c r="E2106" s="5">
        <v>94.33</v>
      </c>
    </row>
    <row r="2107" spans="1:5">
      <c r="A2107" s="4" t="str">
        <f>"20228022909"</f>
        <v>20228022909</v>
      </c>
      <c r="B2107" s="4" t="str">
        <f t="shared" si="38"/>
        <v>20220201</v>
      </c>
      <c r="C2107" s="5">
        <v>94.37</v>
      </c>
      <c r="D2107" s="5">
        <v>94.6</v>
      </c>
      <c r="E2107" s="5">
        <v>94.51</v>
      </c>
    </row>
    <row r="2108" spans="1:5">
      <c r="A2108" s="4" t="str">
        <f>"20228022910"</f>
        <v>20228022910</v>
      </c>
      <c r="B2108" s="4" t="str">
        <f t="shared" si="38"/>
        <v>20220201</v>
      </c>
      <c r="C2108" s="5">
        <v>0</v>
      </c>
      <c r="D2108" s="5">
        <v>0</v>
      </c>
      <c r="E2108" s="5">
        <v>0</v>
      </c>
    </row>
    <row r="2109" spans="1:5">
      <c r="A2109" s="4" t="str">
        <f>"20228022911"</f>
        <v>20228022911</v>
      </c>
      <c r="B2109" s="4" t="str">
        <f t="shared" si="38"/>
        <v>20220201</v>
      </c>
      <c r="C2109" s="5">
        <v>92.72</v>
      </c>
      <c r="D2109" s="5">
        <v>95.1</v>
      </c>
      <c r="E2109" s="5">
        <v>94.15</v>
      </c>
    </row>
    <row r="2110" spans="1:5">
      <c r="A2110" s="4" t="str">
        <f>"20228022912"</f>
        <v>20228022912</v>
      </c>
      <c r="B2110" s="4" t="str">
        <f t="shared" si="38"/>
        <v>20220201</v>
      </c>
      <c r="C2110" s="5">
        <v>0</v>
      </c>
      <c r="D2110" s="5">
        <v>0</v>
      </c>
      <c r="E2110" s="5">
        <v>0</v>
      </c>
    </row>
    <row r="2111" spans="1:5">
      <c r="A2111" s="4" t="str">
        <f>"20228022913"</f>
        <v>20228022913</v>
      </c>
      <c r="B2111" s="4" t="str">
        <f t="shared" si="38"/>
        <v>20220201</v>
      </c>
      <c r="C2111" s="5">
        <v>0</v>
      </c>
      <c r="D2111" s="5">
        <v>0</v>
      </c>
      <c r="E2111" s="5">
        <v>0</v>
      </c>
    </row>
    <row r="2112" spans="1:5">
      <c r="A2112" s="4" t="str">
        <f>"20228022914"</f>
        <v>20228022914</v>
      </c>
      <c r="B2112" s="4" t="str">
        <f t="shared" si="38"/>
        <v>20220201</v>
      </c>
      <c r="C2112" s="5">
        <v>86.96</v>
      </c>
      <c r="D2112" s="5">
        <v>92.4</v>
      </c>
      <c r="E2112" s="5">
        <v>90.22</v>
      </c>
    </row>
    <row r="2113" spans="1:5">
      <c r="A2113" s="4" t="str">
        <f>"20228022915"</f>
        <v>20228022915</v>
      </c>
      <c r="B2113" s="4" t="str">
        <f t="shared" si="38"/>
        <v>20220201</v>
      </c>
      <c r="C2113" s="5">
        <v>82.34</v>
      </c>
      <c r="D2113" s="5">
        <v>86.8</v>
      </c>
      <c r="E2113" s="5">
        <v>85.02</v>
      </c>
    </row>
    <row r="2114" spans="1:5">
      <c r="A2114" s="4" t="str">
        <f>"20228022916"</f>
        <v>20228022916</v>
      </c>
      <c r="B2114" s="4" t="str">
        <f t="shared" si="38"/>
        <v>20220201</v>
      </c>
      <c r="C2114" s="5">
        <v>0</v>
      </c>
      <c r="D2114" s="5">
        <v>0</v>
      </c>
      <c r="E2114" s="5">
        <v>0</v>
      </c>
    </row>
    <row r="2115" spans="1:5">
      <c r="A2115" s="4" t="str">
        <f>"20228022917"</f>
        <v>20228022917</v>
      </c>
      <c r="B2115" s="4" t="str">
        <f t="shared" si="38"/>
        <v>20220201</v>
      </c>
      <c r="C2115" s="5">
        <v>88.94</v>
      </c>
      <c r="D2115" s="5">
        <v>86.4</v>
      </c>
      <c r="E2115" s="5">
        <v>87.42</v>
      </c>
    </row>
    <row r="2116" spans="1:5">
      <c r="A2116" s="4" t="str">
        <f>"20228022918"</f>
        <v>20228022918</v>
      </c>
      <c r="B2116" s="4" t="str">
        <f t="shared" si="38"/>
        <v>20220201</v>
      </c>
      <c r="C2116" s="5">
        <v>0</v>
      </c>
      <c r="D2116" s="5">
        <v>0</v>
      </c>
      <c r="E2116" s="5">
        <v>0</v>
      </c>
    </row>
    <row r="2117" spans="1:5">
      <c r="A2117" s="4" t="str">
        <f>"20228022919"</f>
        <v>20228022919</v>
      </c>
      <c r="B2117" s="4" t="str">
        <f t="shared" si="38"/>
        <v>20220201</v>
      </c>
      <c r="C2117" s="5">
        <v>77.97</v>
      </c>
      <c r="D2117" s="5">
        <v>87.3</v>
      </c>
      <c r="E2117" s="5">
        <v>83.57</v>
      </c>
    </row>
    <row r="2118" spans="1:5">
      <c r="A2118" s="4" t="str">
        <f>"20228022920"</f>
        <v>20228022920</v>
      </c>
      <c r="B2118" s="4" t="str">
        <f t="shared" si="38"/>
        <v>20220201</v>
      </c>
      <c r="C2118" s="5">
        <v>51.31</v>
      </c>
      <c r="D2118" s="5">
        <v>83.2</v>
      </c>
      <c r="E2118" s="5">
        <v>70.44</v>
      </c>
    </row>
    <row r="2119" spans="1:5">
      <c r="A2119" s="4" t="str">
        <f>"20228022921"</f>
        <v>20228022921</v>
      </c>
      <c r="B2119" s="4" t="str">
        <f t="shared" si="38"/>
        <v>20220201</v>
      </c>
      <c r="C2119" s="5">
        <v>77.89</v>
      </c>
      <c r="D2119" s="5">
        <v>91</v>
      </c>
      <c r="E2119" s="5">
        <v>85.76</v>
      </c>
    </row>
    <row r="2120" spans="1:5">
      <c r="A2120" s="4" t="str">
        <f>"20228022922"</f>
        <v>20228022922</v>
      </c>
      <c r="B2120" s="4" t="str">
        <f t="shared" si="38"/>
        <v>20220201</v>
      </c>
      <c r="C2120" s="5">
        <v>0</v>
      </c>
      <c r="D2120" s="5">
        <v>0</v>
      </c>
      <c r="E2120" s="5">
        <v>0</v>
      </c>
    </row>
    <row r="2121" spans="1:5">
      <c r="A2121" s="4" t="str">
        <f>"20228022923"</f>
        <v>20228022923</v>
      </c>
      <c r="B2121" s="4" t="str">
        <f t="shared" si="38"/>
        <v>20220201</v>
      </c>
      <c r="C2121" s="5">
        <v>0</v>
      </c>
      <c r="D2121" s="5">
        <v>91.6</v>
      </c>
      <c r="E2121" s="5">
        <v>54.96</v>
      </c>
    </row>
    <row r="2122" spans="1:5">
      <c r="A2122" s="4" t="str">
        <f>"20228022924"</f>
        <v>20228022924</v>
      </c>
      <c r="B2122" s="4" t="str">
        <f t="shared" si="38"/>
        <v>20220201</v>
      </c>
      <c r="C2122" s="5">
        <v>95.85</v>
      </c>
      <c r="D2122" s="5">
        <v>92.8</v>
      </c>
      <c r="E2122" s="5">
        <v>94.02</v>
      </c>
    </row>
    <row r="2123" spans="1:5">
      <c r="A2123" s="4" t="str">
        <f>"20228022925"</f>
        <v>20228022925</v>
      </c>
      <c r="B2123" s="4" t="str">
        <f t="shared" si="38"/>
        <v>20220201</v>
      </c>
      <c r="C2123" s="5">
        <v>72.26</v>
      </c>
      <c r="D2123" s="5">
        <v>91.1</v>
      </c>
      <c r="E2123" s="5">
        <v>83.56</v>
      </c>
    </row>
    <row r="2124" spans="1:5">
      <c r="A2124" s="4" t="str">
        <f>"20228022926"</f>
        <v>20228022926</v>
      </c>
      <c r="B2124" s="4" t="str">
        <f t="shared" si="38"/>
        <v>20220201</v>
      </c>
      <c r="C2124" s="5">
        <v>90.89</v>
      </c>
      <c r="D2124" s="5">
        <v>92.9</v>
      </c>
      <c r="E2124" s="5">
        <v>92.1</v>
      </c>
    </row>
    <row r="2125" spans="1:5">
      <c r="A2125" s="4" t="str">
        <f>"20228022927"</f>
        <v>20228022927</v>
      </c>
      <c r="B2125" s="4" t="str">
        <f t="shared" si="38"/>
        <v>20220201</v>
      </c>
      <c r="C2125" s="5">
        <v>0</v>
      </c>
      <c r="D2125" s="5">
        <v>0</v>
      </c>
      <c r="E2125" s="5">
        <v>0</v>
      </c>
    </row>
    <row r="2126" spans="1:5">
      <c r="A2126" s="4" t="str">
        <f>"20228022928"</f>
        <v>20228022928</v>
      </c>
      <c r="B2126" s="4" t="str">
        <f t="shared" si="38"/>
        <v>20220201</v>
      </c>
      <c r="C2126" s="5">
        <v>76.7</v>
      </c>
      <c r="D2126" s="5">
        <v>92.6</v>
      </c>
      <c r="E2126" s="5">
        <v>86.24</v>
      </c>
    </row>
    <row r="2127" spans="1:5">
      <c r="A2127" s="4" t="str">
        <f>"20228022929"</f>
        <v>20228022929</v>
      </c>
      <c r="B2127" s="4" t="str">
        <f t="shared" si="38"/>
        <v>20220201</v>
      </c>
      <c r="C2127" s="5">
        <v>0</v>
      </c>
      <c r="D2127" s="5">
        <v>0</v>
      </c>
      <c r="E2127" s="5">
        <v>0</v>
      </c>
    </row>
    <row r="2128" spans="1:5">
      <c r="A2128" s="4" t="str">
        <f>"20228022930"</f>
        <v>20228022930</v>
      </c>
      <c r="B2128" s="4" t="str">
        <f t="shared" si="38"/>
        <v>20220201</v>
      </c>
      <c r="C2128" s="5">
        <v>76.94</v>
      </c>
      <c r="D2128" s="5">
        <v>94.4</v>
      </c>
      <c r="E2128" s="5">
        <v>87.42</v>
      </c>
    </row>
    <row r="2129" spans="1:5">
      <c r="A2129" s="4" t="str">
        <f>"20228023001"</f>
        <v>20228023001</v>
      </c>
      <c r="B2129" s="4" t="str">
        <f t="shared" si="38"/>
        <v>20220201</v>
      </c>
      <c r="C2129" s="5">
        <v>81.95</v>
      </c>
      <c r="D2129" s="5">
        <v>90.4</v>
      </c>
      <c r="E2129" s="5">
        <v>87.02</v>
      </c>
    </row>
    <row r="2130" spans="1:5">
      <c r="A2130" s="4" t="str">
        <f>"20228023002"</f>
        <v>20228023002</v>
      </c>
      <c r="B2130" s="4" t="str">
        <f t="shared" si="38"/>
        <v>20220201</v>
      </c>
      <c r="C2130" s="5">
        <v>0</v>
      </c>
      <c r="D2130" s="5">
        <v>0</v>
      </c>
      <c r="E2130" s="5">
        <v>0</v>
      </c>
    </row>
    <row r="2131" spans="1:5">
      <c r="A2131" s="4" t="str">
        <f>"20228023003"</f>
        <v>20228023003</v>
      </c>
      <c r="B2131" s="4" t="str">
        <f t="shared" si="38"/>
        <v>20220201</v>
      </c>
      <c r="C2131" s="5">
        <v>69.01</v>
      </c>
      <c r="D2131" s="5">
        <v>97.8</v>
      </c>
      <c r="E2131" s="5">
        <v>86.28</v>
      </c>
    </row>
    <row r="2132" spans="1:5">
      <c r="A2132" s="4" t="str">
        <f>"20228023004"</f>
        <v>20228023004</v>
      </c>
      <c r="B2132" s="4" t="str">
        <f t="shared" si="38"/>
        <v>20220201</v>
      </c>
      <c r="C2132" s="5">
        <v>78.25</v>
      </c>
      <c r="D2132" s="5">
        <v>98.1</v>
      </c>
      <c r="E2132" s="5">
        <v>90.16</v>
      </c>
    </row>
    <row r="2133" spans="1:5">
      <c r="A2133" s="4" t="str">
        <f>"20228023005"</f>
        <v>20228023005</v>
      </c>
      <c r="B2133" s="4" t="str">
        <f t="shared" si="38"/>
        <v>20220201</v>
      </c>
      <c r="C2133" s="5">
        <v>84.99</v>
      </c>
      <c r="D2133" s="5">
        <v>91.4</v>
      </c>
      <c r="E2133" s="5">
        <v>88.84</v>
      </c>
    </row>
    <row r="2134" spans="1:5">
      <c r="A2134" s="4" t="str">
        <f>"20228023006"</f>
        <v>20228023006</v>
      </c>
      <c r="B2134" s="4" t="str">
        <f t="shared" si="38"/>
        <v>20220201</v>
      </c>
      <c r="C2134" s="5">
        <v>0</v>
      </c>
      <c r="D2134" s="5">
        <v>0</v>
      </c>
      <c r="E2134" s="5">
        <v>0</v>
      </c>
    </row>
    <row r="2135" spans="1:5">
      <c r="A2135" s="4" t="str">
        <f>"20228023007"</f>
        <v>20228023007</v>
      </c>
      <c r="B2135" s="4" t="str">
        <f t="shared" si="38"/>
        <v>20220201</v>
      </c>
      <c r="C2135" s="5">
        <v>91.03</v>
      </c>
      <c r="D2135" s="5">
        <v>89.5</v>
      </c>
      <c r="E2135" s="5">
        <v>90.11</v>
      </c>
    </row>
    <row r="2136" spans="1:5">
      <c r="A2136" s="4" t="str">
        <f>"20228023008"</f>
        <v>20228023008</v>
      </c>
      <c r="B2136" s="4" t="str">
        <f t="shared" si="38"/>
        <v>20220201</v>
      </c>
      <c r="C2136" s="5">
        <v>0</v>
      </c>
      <c r="D2136" s="5">
        <v>0</v>
      </c>
      <c r="E2136" s="5">
        <v>0</v>
      </c>
    </row>
    <row r="2137" spans="1:5">
      <c r="A2137" s="4" t="str">
        <f>"20228023009"</f>
        <v>20228023009</v>
      </c>
      <c r="B2137" s="4" t="str">
        <f t="shared" si="38"/>
        <v>20220201</v>
      </c>
      <c r="C2137" s="5">
        <v>0</v>
      </c>
      <c r="D2137" s="5">
        <v>0</v>
      </c>
      <c r="E2137" s="5">
        <v>0</v>
      </c>
    </row>
    <row r="2138" spans="1:5">
      <c r="A2138" s="4" t="str">
        <f>"20228023010"</f>
        <v>20228023010</v>
      </c>
      <c r="B2138" s="4" t="str">
        <f t="shared" si="38"/>
        <v>20220201</v>
      </c>
      <c r="C2138" s="5">
        <v>74.11</v>
      </c>
      <c r="D2138" s="5">
        <v>87.3</v>
      </c>
      <c r="E2138" s="5">
        <v>82.02</v>
      </c>
    </row>
    <row r="2139" spans="1:5">
      <c r="A2139" s="4" t="str">
        <f>"20228023011"</f>
        <v>20228023011</v>
      </c>
      <c r="B2139" s="4" t="str">
        <f t="shared" si="38"/>
        <v>20220201</v>
      </c>
      <c r="C2139" s="5">
        <v>72.52</v>
      </c>
      <c r="D2139" s="5">
        <v>87.9</v>
      </c>
      <c r="E2139" s="5">
        <v>81.75</v>
      </c>
    </row>
    <row r="2140" spans="1:5">
      <c r="A2140" s="4" t="str">
        <f>"20228023012"</f>
        <v>20228023012</v>
      </c>
      <c r="B2140" s="4" t="str">
        <f t="shared" si="38"/>
        <v>20220201</v>
      </c>
      <c r="C2140" s="5">
        <v>0</v>
      </c>
      <c r="D2140" s="5">
        <v>0</v>
      </c>
      <c r="E2140" s="5">
        <v>0</v>
      </c>
    </row>
    <row r="2141" spans="1:5">
      <c r="A2141" s="4" t="str">
        <f>"20228023013"</f>
        <v>20228023013</v>
      </c>
      <c r="B2141" s="4" t="str">
        <f t="shared" si="38"/>
        <v>20220201</v>
      </c>
      <c r="C2141" s="5">
        <v>0</v>
      </c>
      <c r="D2141" s="5">
        <v>0</v>
      </c>
      <c r="E2141" s="5">
        <v>0</v>
      </c>
    </row>
    <row r="2142" spans="1:5">
      <c r="A2142" s="4" t="str">
        <f>"20228023014"</f>
        <v>20228023014</v>
      </c>
      <c r="B2142" s="4" t="str">
        <f t="shared" si="38"/>
        <v>20220201</v>
      </c>
      <c r="C2142" s="5">
        <v>79.54</v>
      </c>
      <c r="D2142" s="5">
        <v>99.6</v>
      </c>
      <c r="E2142" s="5">
        <v>91.58</v>
      </c>
    </row>
    <row r="2143" spans="1:5">
      <c r="A2143" s="4" t="str">
        <f>"20228023015"</f>
        <v>20228023015</v>
      </c>
      <c r="B2143" s="4" t="str">
        <f t="shared" si="38"/>
        <v>20220201</v>
      </c>
      <c r="C2143" s="5">
        <v>0</v>
      </c>
      <c r="D2143" s="5">
        <v>90</v>
      </c>
      <c r="E2143" s="5">
        <v>54</v>
      </c>
    </row>
    <row r="2144" spans="1:5">
      <c r="A2144" s="4" t="str">
        <f>"20228023016"</f>
        <v>20228023016</v>
      </c>
      <c r="B2144" s="4" t="str">
        <f t="shared" si="38"/>
        <v>20220201</v>
      </c>
      <c r="C2144" s="5">
        <v>0</v>
      </c>
      <c r="D2144" s="5">
        <v>0</v>
      </c>
      <c r="E2144" s="5">
        <v>0</v>
      </c>
    </row>
    <row r="2145" spans="1:5">
      <c r="A2145" s="4" t="str">
        <f>"20228023017"</f>
        <v>20228023017</v>
      </c>
      <c r="B2145" s="4" t="str">
        <f t="shared" si="38"/>
        <v>20220201</v>
      </c>
      <c r="C2145" s="5">
        <v>91.13</v>
      </c>
      <c r="D2145" s="5">
        <v>86.7</v>
      </c>
      <c r="E2145" s="5">
        <v>88.47</v>
      </c>
    </row>
    <row r="2146" spans="1:5">
      <c r="A2146" s="4" t="str">
        <f>"20228023018"</f>
        <v>20228023018</v>
      </c>
      <c r="B2146" s="4" t="str">
        <f t="shared" ref="B2146:B2209" si="39">"20220201"</f>
        <v>20220201</v>
      </c>
      <c r="C2146" s="5">
        <v>0</v>
      </c>
      <c r="D2146" s="5">
        <v>0</v>
      </c>
      <c r="E2146" s="5">
        <v>0</v>
      </c>
    </row>
    <row r="2147" spans="1:5">
      <c r="A2147" s="4" t="str">
        <f>"20228023019"</f>
        <v>20228023019</v>
      </c>
      <c r="B2147" s="4" t="str">
        <f t="shared" si="39"/>
        <v>20220201</v>
      </c>
      <c r="C2147" s="5">
        <v>0</v>
      </c>
      <c r="D2147" s="5">
        <v>0</v>
      </c>
      <c r="E2147" s="5">
        <v>0</v>
      </c>
    </row>
    <row r="2148" spans="1:5">
      <c r="A2148" s="4" t="str">
        <f>"20228023020"</f>
        <v>20228023020</v>
      </c>
      <c r="B2148" s="4" t="str">
        <f t="shared" si="39"/>
        <v>20220201</v>
      </c>
      <c r="C2148" s="5">
        <v>77.88</v>
      </c>
      <c r="D2148" s="5">
        <v>84.9</v>
      </c>
      <c r="E2148" s="5">
        <v>82.09</v>
      </c>
    </row>
    <row r="2149" spans="1:5">
      <c r="A2149" s="4" t="str">
        <f>"20228023021"</f>
        <v>20228023021</v>
      </c>
      <c r="B2149" s="4" t="str">
        <f t="shared" si="39"/>
        <v>20220201</v>
      </c>
      <c r="C2149" s="5">
        <v>95.64</v>
      </c>
      <c r="D2149" s="5">
        <v>99.7</v>
      </c>
      <c r="E2149" s="5">
        <v>98.08</v>
      </c>
    </row>
    <row r="2150" spans="1:5">
      <c r="A2150" s="4" t="str">
        <f>"20228023022"</f>
        <v>20228023022</v>
      </c>
      <c r="B2150" s="4" t="str">
        <f t="shared" si="39"/>
        <v>20220201</v>
      </c>
      <c r="C2150" s="5">
        <v>0</v>
      </c>
      <c r="D2150" s="5">
        <v>0</v>
      </c>
      <c r="E2150" s="5">
        <v>0</v>
      </c>
    </row>
    <row r="2151" spans="1:5">
      <c r="A2151" s="4" t="str">
        <f>"20228023023"</f>
        <v>20228023023</v>
      </c>
      <c r="B2151" s="4" t="str">
        <f t="shared" si="39"/>
        <v>20220201</v>
      </c>
      <c r="C2151" s="5">
        <v>86.53</v>
      </c>
      <c r="D2151" s="5">
        <v>92.9</v>
      </c>
      <c r="E2151" s="5">
        <v>90.35</v>
      </c>
    </row>
    <row r="2152" spans="1:5">
      <c r="A2152" s="4" t="str">
        <f>"20228023024"</f>
        <v>20228023024</v>
      </c>
      <c r="B2152" s="4" t="str">
        <f t="shared" si="39"/>
        <v>20220201</v>
      </c>
      <c r="C2152" s="5">
        <v>73.95</v>
      </c>
      <c r="D2152" s="5">
        <v>89.3</v>
      </c>
      <c r="E2152" s="5">
        <v>83.16</v>
      </c>
    </row>
    <row r="2153" spans="1:5">
      <c r="A2153" s="4" t="str">
        <f>"20228023025"</f>
        <v>20228023025</v>
      </c>
      <c r="B2153" s="4" t="str">
        <f t="shared" si="39"/>
        <v>20220201</v>
      </c>
      <c r="C2153" s="5">
        <v>0</v>
      </c>
      <c r="D2153" s="5">
        <v>0</v>
      </c>
      <c r="E2153" s="5">
        <v>0</v>
      </c>
    </row>
    <row r="2154" spans="1:5">
      <c r="A2154" s="4" t="str">
        <f>"20228023026"</f>
        <v>20228023026</v>
      </c>
      <c r="B2154" s="4" t="str">
        <f t="shared" si="39"/>
        <v>20220201</v>
      </c>
      <c r="C2154" s="5">
        <v>0</v>
      </c>
      <c r="D2154" s="5">
        <v>0</v>
      </c>
      <c r="E2154" s="5">
        <v>0</v>
      </c>
    </row>
    <row r="2155" spans="1:5">
      <c r="A2155" s="4" t="str">
        <f>"20228023027"</f>
        <v>20228023027</v>
      </c>
      <c r="B2155" s="4" t="str">
        <f t="shared" si="39"/>
        <v>20220201</v>
      </c>
      <c r="C2155" s="5">
        <v>69.99</v>
      </c>
      <c r="D2155" s="5">
        <v>93.3</v>
      </c>
      <c r="E2155" s="5">
        <v>83.98</v>
      </c>
    </row>
    <row r="2156" spans="1:5">
      <c r="A2156" s="4" t="str">
        <f>"20228023028"</f>
        <v>20228023028</v>
      </c>
      <c r="B2156" s="4" t="str">
        <f t="shared" si="39"/>
        <v>20220201</v>
      </c>
      <c r="C2156" s="5">
        <v>0</v>
      </c>
      <c r="D2156" s="5">
        <v>0</v>
      </c>
      <c r="E2156" s="5">
        <v>0</v>
      </c>
    </row>
    <row r="2157" spans="1:5">
      <c r="A2157" s="4" t="str">
        <f>"20228023029"</f>
        <v>20228023029</v>
      </c>
      <c r="B2157" s="4" t="str">
        <f t="shared" si="39"/>
        <v>20220201</v>
      </c>
      <c r="C2157" s="5">
        <v>0</v>
      </c>
      <c r="D2157" s="5">
        <v>0</v>
      </c>
      <c r="E2157" s="5">
        <v>0</v>
      </c>
    </row>
    <row r="2158" spans="1:5">
      <c r="A2158" s="4" t="str">
        <f>"20228023030"</f>
        <v>20228023030</v>
      </c>
      <c r="B2158" s="4" t="str">
        <f t="shared" si="39"/>
        <v>20220201</v>
      </c>
      <c r="C2158" s="5">
        <v>84.71</v>
      </c>
      <c r="D2158" s="5">
        <v>91.3</v>
      </c>
      <c r="E2158" s="5">
        <v>88.66</v>
      </c>
    </row>
    <row r="2159" spans="1:5">
      <c r="A2159" s="4" t="str">
        <f>"20228023101"</f>
        <v>20228023101</v>
      </c>
      <c r="B2159" s="4" t="str">
        <f t="shared" si="39"/>
        <v>20220201</v>
      </c>
      <c r="C2159" s="5">
        <v>0</v>
      </c>
      <c r="D2159" s="5">
        <v>0</v>
      </c>
      <c r="E2159" s="5">
        <v>0</v>
      </c>
    </row>
    <row r="2160" spans="1:5">
      <c r="A2160" s="4" t="str">
        <f>"20228023102"</f>
        <v>20228023102</v>
      </c>
      <c r="B2160" s="4" t="str">
        <f t="shared" si="39"/>
        <v>20220201</v>
      </c>
      <c r="C2160" s="5">
        <v>0</v>
      </c>
      <c r="D2160" s="5">
        <v>0</v>
      </c>
      <c r="E2160" s="5">
        <v>0</v>
      </c>
    </row>
    <row r="2161" spans="1:5">
      <c r="A2161" s="4" t="str">
        <f>"20228023103"</f>
        <v>20228023103</v>
      </c>
      <c r="B2161" s="4" t="str">
        <f t="shared" si="39"/>
        <v>20220201</v>
      </c>
      <c r="C2161" s="5">
        <v>86.13</v>
      </c>
      <c r="D2161" s="5">
        <v>91.9</v>
      </c>
      <c r="E2161" s="5">
        <v>89.59</v>
      </c>
    </row>
    <row r="2162" spans="1:5">
      <c r="A2162" s="4" t="str">
        <f>"20228023104"</f>
        <v>20228023104</v>
      </c>
      <c r="B2162" s="4" t="str">
        <f t="shared" si="39"/>
        <v>20220201</v>
      </c>
      <c r="C2162" s="5">
        <v>0</v>
      </c>
      <c r="D2162" s="5">
        <v>0</v>
      </c>
      <c r="E2162" s="5">
        <v>0</v>
      </c>
    </row>
    <row r="2163" spans="1:5">
      <c r="A2163" s="4" t="str">
        <f>"20228023105"</f>
        <v>20228023105</v>
      </c>
      <c r="B2163" s="4" t="str">
        <f t="shared" si="39"/>
        <v>20220201</v>
      </c>
      <c r="C2163" s="5">
        <v>90.75</v>
      </c>
      <c r="D2163" s="5">
        <v>95</v>
      </c>
      <c r="E2163" s="5">
        <v>93.3</v>
      </c>
    </row>
    <row r="2164" spans="1:5">
      <c r="A2164" s="4" t="str">
        <f>"20228023106"</f>
        <v>20228023106</v>
      </c>
      <c r="B2164" s="4" t="str">
        <f t="shared" si="39"/>
        <v>20220201</v>
      </c>
      <c r="C2164" s="5">
        <v>0</v>
      </c>
      <c r="D2164" s="5">
        <v>0</v>
      </c>
      <c r="E2164" s="5">
        <v>0</v>
      </c>
    </row>
    <row r="2165" spans="1:5">
      <c r="A2165" s="4" t="str">
        <f>"20228023107"</f>
        <v>20228023107</v>
      </c>
      <c r="B2165" s="4" t="str">
        <f t="shared" si="39"/>
        <v>20220201</v>
      </c>
      <c r="C2165" s="5">
        <v>86.67</v>
      </c>
      <c r="D2165" s="5">
        <v>96.7</v>
      </c>
      <c r="E2165" s="5">
        <v>92.69</v>
      </c>
    </row>
    <row r="2166" spans="1:5">
      <c r="A2166" s="4" t="str">
        <f>"20228023108"</f>
        <v>20228023108</v>
      </c>
      <c r="B2166" s="4" t="str">
        <f t="shared" si="39"/>
        <v>20220201</v>
      </c>
      <c r="C2166" s="5">
        <v>0</v>
      </c>
      <c r="D2166" s="5">
        <v>0</v>
      </c>
      <c r="E2166" s="5">
        <v>0</v>
      </c>
    </row>
    <row r="2167" spans="1:5">
      <c r="A2167" s="4" t="str">
        <f>"20228023109"</f>
        <v>20228023109</v>
      </c>
      <c r="B2167" s="4" t="str">
        <f t="shared" si="39"/>
        <v>20220201</v>
      </c>
      <c r="C2167" s="5">
        <v>79.26</v>
      </c>
      <c r="D2167" s="5">
        <v>85.4</v>
      </c>
      <c r="E2167" s="5">
        <v>82.94</v>
      </c>
    </row>
    <row r="2168" spans="1:5">
      <c r="A2168" s="4" t="str">
        <f>"20228023110"</f>
        <v>20228023110</v>
      </c>
      <c r="B2168" s="4" t="str">
        <f t="shared" si="39"/>
        <v>20220201</v>
      </c>
      <c r="C2168" s="5">
        <v>0</v>
      </c>
      <c r="D2168" s="5">
        <v>0</v>
      </c>
      <c r="E2168" s="5">
        <v>0</v>
      </c>
    </row>
    <row r="2169" spans="1:5">
      <c r="A2169" s="4" t="str">
        <f>"20228023111"</f>
        <v>20228023111</v>
      </c>
      <c r="B2169" s="4" t="str">
        <f t="shared" si="39"/>
        <v>20220201</v>
      </c>
      <c r="C2169" s="5">
        <v>0</v>
      </c>
      <c r="D2169" s="5">
        <v>0</v>
      </c>
      <c r="E2169" s="5">
        <v>0</v>
      </c>
    </row>
    <row r="2170" spans="1:5">
      <c r="A2170" s="4" t="str">
        <f>"20228023112"</f>
        <v>20228023112</v>
      </c>
      <c r="B2170" s="4" t="str">
        <f t="shared" si="39"/>
        <v>20220201</v>
      </c>
      <c r="C2170" s="5">
        <v>0</v>
      </c>
      <c r="D2170" s="5">
        <v>0</v>
      </c>
      <c r="E2170" s="5">
        <v>0</v>
      </c>
    </row>
    <row r="2171" spans="1:5">
      <c r="A2171" s="4" t="str">
        <f>"20228023113"</f>
        <v>20228023113</v>
      </c>
      <c r="B2171" s="4" t="str">
        <f t="shared" si="39"/>
        <v>20220201</v>
      </c>
      <c r="C2171" s="5">
        <v>89.91</v>
      </c>
      <c r="D2171" s="5">
        <v>93.7</v>
      </c>
      <c r="E2171" s="5">
        <v>92.18</v>
      </c>
    </row>
    <row r="2172" spans="1:5">
      <c r="A2172" s="4" t="str">
        <f>"20228023114"</f>
        <v>20228023114</v>
      </c>
      <c r="B2172" s="4" t="str">
        <f t="shared" si="39"/>
        <v>20220201</v>
      </c>
      <c r="C2172" s="5">
        <v>89.85</v>
      </c>
      <c r="D2172" s="5">
        <v>94.5</v>
      </c>
      <c r="E2172" s="5">
        <v>92.64</v>
      </c>
    </row>
    <row r="2173" spans="1:5">
      <c r="A2173" s="4" t="str">
        <f>"20228023115"</f>
        <v>20228023115</v>
      </c>
      <c r="B2173" s="4" t="str">
        <f t="shared" si="39"/>
        <v>20220201</v>
      </c>
      <c r="C2173" s="5">
        <v>90.52</v>
      </c>
      <c r="D2173" s="5">
        <v>86.5</v>
      </c>
      <c r="E2173" s="5">
        <v>88.11</v>
      </c>
    </row>
    <row r="2174" spans="1:5">
      <c r="A2174" s="4" t="str">
        <f>"20228023116"</f>
        <v>20228023116</v>
      </c>
      <c r="B2174" s="4" t="str">
        <f t="shared" si="39"/>
        <v>20220201</v>
      </c>
      <c r="C2174" s="5">
        <v>0</v>
      </c>
      <c r="D2174" s="5">
        <v>0</v>
      </c>
      <c r="E2174" s="5">
        <v>0</v>
      </c>
    </row>
    <row r="2175" spans="1:5">
      <c r="A2175" s="4" t="str">
        <f>"20228023117"</f>
        <v>20228023117</v>
      </c>
      <c r="B2175" s="4" t="str">
        <f t="shared" si="39"/>
        <v>20220201</v>
      </c>
      <c r="C2175" s="5">
        <v>0</v>
      </c>
      <c r="D2175" s="5">
        <v>0</v>
      </c>
      <c r="E2175" s="5">
        <v>0</v>
      </c>
    </row>
    <row r="2176" spans="1:5">
      <c r="A2176" s="4" t="str">
        <f>"20228023118"</f>
        <v>20228023118</v>
      </c>
      <c r="B2176" s="4" t="str">
        <f t="shared" si="39"/>
        <v>20220201</v>
      </c>
      <c r="C2176" s="5">
        <v>0</v>
      </c>
      <c r="D2176" s="5">
        <v>0</v>
      </c>
      <c r="E2176" s="5">
        <v>0</v>
      </c>
    </row>
    <row r="2177" spans="1:5">
      <c r="A2177" s="4" t="str">
        <f>"20228023119"</f>
        <v>20228023119</v>
      </c>
      <c r="B2177" s="4" t="str">
        <f t="shared" si="39"/>
        <v>20220201</v>
      </c>
      <c r="C2177" s="5">
        <v>0</v>
      </c>
      <c r="D2177" s="5">
        <v>0</v>
      </c>
      <c r="E2177" s="5">
        <v>0</v>
      </c>
    </row>
    <row r="2178" spans="1:5">
      <c r="A2178" s="4" t="str">
        <f>"20228023120"</f>
        <v>20228023120</v>
      </c>
      <c r="B2178" s="4" t="str">
        <f t="shared" si="39"/>
        <v>20220201</v>
      </c>
      <c r="C2178" s="5">
        <v>0</v>
      </c>
      <c r="D2178" s="5">
        <v>0</v>
      </c>
      <c r="E2178" s="5">
        <v>0</v>
      </c>
    </row>
    <row r="2179" spans="1:5">
      <c r="A2179" s="4" t="str">
        <f>"20228023121"</f>
        <v>20228023121</v>
      </c>
      <c r="B2179" s="4" t="str">
        <f t="shared" si="39"/>
        <v>20220201</v>
      </c>
      <c r="C2179" s="5">
        <v>0</v>
      </c>
      <c r="D2179" s="5">
        <v>0</v>
      </c>
      <c r="E2179" s="5">
        <v>0</v>
      </c>
    </row>
    <row r="2180" spans="1:5">
      <c r="A2180" s="4" t="str">
        <f>"20228023122"</f>
        <v>20228023122</v>
      </c>
      <c r="B2180" s="4" t="str">
        <f t="shared" si="39"/>
        <v>20220201</v>
      </c>
      <c r="C2180" s="5">
        <v>86.31</v>
      </c>
      <c r="D2180" s="5">
        <v>97.7</v>
      </c>
      <c r="E2180" s="5">
        <v>93.14</v>
      </c>
    </row>
    <row r="2181" spans="1:5">
      <c r="A2181" s="4" t="str">
        <f>"20228023123"</f>
        <v>20228023123</v>
      </c>
      <c r="B2181" s="4" t="str">
        <f t="shared" si="39"/>
        <v>20220201</v>
      </c>
      <c r="C2181" s="5">
        <v>0</v>
      </c>
      <c r="D2181" s="5">
        <v>0</v>
      </c>
      <c r="E2181" s="5">
        <v>0</v>
      </c>
    </row>
    <row r="2182" spans="1:5">
      <c r="A2182" s="4" t="str">
        <f>"20228023124"</f>
        <v>20228023124</v>
      </c>
      <c r="B2182" s="4" t="str">
        <f t="shared" si="39"/>
        <v>20220201</v>
      </c>
      <c r="C2182" s="5">
        <v>83.88</v>
      </c>
      <c r="D2182" s="5">
        <v>88.9</v>
      </c>
      <c r="E2182" s="5">
        <v>86.89</v>
      </c>
    </row>
    <row r="2183" spans="1:5">
      <c r="A2183" s="4" t="str">
        <f>"20228023125"</f>
        <v>20228023125</v>
      </c>
      <c r="B2183" s="4" t="str">
        <f t="shared" si="39"/>
        <v>20220201</v>
      </c>
      <c r="C2183" s="5">
        <v>78.31</v>
      </c>
      <c r="D2183" s="5">
        <v>101.1</v>
      </c>
      <c r="E2183" s="5">
        <v>91.98</v>
      </c>
    </row>
    <row r="2184" spans="1:5">
      <c r="A2184" s="4" t="str">
        <f>"20228023126"</f>
        <v>20228023126</v>
      </c>
      <c r="B2184" s="4" t="str">
        <f t="shared" si="39"/>
        <v>20220201</v>
      </c>
      <c r="C2184" s="5">
        <v>93.26</v>
      </c>
      <c r="D2184" s="5">
        <v>91.2</v>
      </c>
      <c r="E2184" s="5">
        <v>92.02</v>
      </c>
    </row>
    <row r="2185" spans="1:5">
      <c r="A2185" s="4" t="str">
        <f>"20228023127"</f>
        <v>20228023127</v>
      </c>
      <c r="B2185" s="4" t="str">
        <f t="shared" si="39"/>
        <v>20220201</v>
      </c>
      <c r="C2185" s="5">
        <v>93.48</v>
      </c>
      <c r="D2185" s="5">
        <v>94.4</v>
      </c>
      <c r="E2185" s="5">
        <v>94.03</v>
      </c>
    </row>
    <row r="2186" spans="1:5">
      <c r="A2186" s="4" t="str">
        <f>"20228023128"</f>
        <v>20228023128</v>
      </c>
      <c r="B2186" s="4" t="str">
        <f t="shared" si="39"/>
        <v>20220201</v>
      </c>
      <c r="C2186" s="5">
        <v>81.48</v>
      </c>
      <c r="D2186" s="5">
        <v>91.5</v>
      </c>
      <c r="E2186" s="5">
        <v>87.49</v>
      </c>
    </row>
    <row r="2187" spans="1:5">
      <c r="A2187" s="4" t="str">
        <f>"20228023129"</f>
        <v>20228023129</v>
      </c>
      <c r="B2187" s="4" t="str">
        <f t="shared" si="39"/>
        <v>20220201</v>
      </c>
      <c r="C2187" s="5">
        <v>0</v>
      </c>
      <c r="D2187" s="5">
        <v>0</v>
      </c>
      <c r="E2187" s="5">
        <v>0</v>
      </c>
    </row>
    <row r="2188" spans="1:5">
      <c r="A2188" s="4" t="str">
        <f>"20228023130"</f>
        <v>20228023130</v>
      </c>
      <c r="B2188" s="4" t="str">
        <f t="shared" si="39"/>
        <v>20220201</v>
      </c>
      <c r="C2188" s="5">
        <v>67.83</v>
      </c>
      <c r="D2188" s="5">
        <v>86.3</v>
      </c>
      <c r="E2188" s="5">
        <v>78.91</v>
      </c>
    </row>
    <row r="2189" spans="1:5">
      <c r="A2189" s="4" t="str">
        <f>"20228023201"</f>
        <v>20228023201</v>
      </c>
      <c r="B2189" s="4" t="str">
        <f t="shared" si="39"/>
        <v>20220201</v>
      </c>
      <c r="C2189" s="5">
        <v>0</v>
      </c>
      <c r="D2189" s="5">
        <v>0</v>
      </c>
      <c r="E2189" s="5">
        <v>0</v>
      </c>
    </row>
    <row r="2190" spans="1:5">
      <c r="A2190" s="4" t="str">
        <f>"20228023202"</f>
        <v>20228023202</v>
      </c>
      <c r="B2190" s="4" t="str">
        <f t="shared" si="39"/>
        <v>20220201</v>
      </c>
      <c r="C2190" s="5">
        <v>71.44</v>
      </c>
      <c r="D2190" s="5">
        <v>85.8</v>
      </c>
      <c r="E2190" s="5">
        <v>80.06</v>
      </c>
    </row>
    <row r="2191" spans="1:5">
      <c r="A2191" s="4" t="str">
        <f>"20228023203"</f>
        <v>20228023203</v>
      </c>
      <c r="B2191" s="4" t="str">
        <f t="shared" si="39"/>
        <v>20220201</v>
      </c>
      <c r="C2191" s="5">
        <v>91.35</v>
      </c>
      <c r="D2191" s="5">
        <v>96.4</v>
      </c>
      <c r="E2191" s="5">
        <v>94.38</v>
      </c>
    </row>
    <row r="2192" spans="1:5">
      <c r="A2192" s="4" t="str">
        <f>"20228023204"</f>
        <v>20228023204</v>
      </c>
      <c r="B2192" s="4" t="str">
        <f t="shared" si="39"/>
        <v>20220201</v>
      </c>
      <c r="C2192" s="5">
        <v>93.79</v>
      </c>
      <c r="D2192" s="5">
        <v>88.2</v>
      </c>
      <c r="E2192" s="5">
        <v>90.44</v>
      </c>
    </row>
    <row r="2193" spans="1:5">
      <c r="A2193" s="4" t="str">
        <f>"20228023205"</f>
        <v>20228023205</v>
      </c>
      <c r="B2193" s="4" t="str">
        <f t="shared" si="39"/>
        <v>20220201</v>
      </c>
      <c r="C2193" s="5">
        <v>0</v>
      </c>
      <c r="D2193" s="5">
        <v>0</v>
      </c>
      <c r="E2193" s="5">
        <v>0</v>
      </c>
    </row>
    <row r="2194" spans="1:5">
      <c r="A2194" s="4" t="str">
        <f>"20228023206"</f>
        <v>20228023206</v>
      </c>
      <c r="B2194" s="4" t="str">
        <f t="shared" si="39"/>
        <v>20220201</v>
      </c>
      <c r="C2194" s="5">
        <v>81.17</v>
      </c>
      <c r="D2194" s="5">
        <v>90.4</v>
      </c>
      <c r="E2194" s="5">
        <v>86.71</v>
      </c>
    </row>
    <row r="2195" spans="1:5">
      <c r="A2195" s="4" t="str">
        <f>"20228023207"</f>
        <v>20228023207</v>
      </c>
      <c r="B2195" s="4" t="str">
        <f t="shared" si="39"/>
        <v>20220201</v>
      </c>
      <c r="C2195" s="5">
        <v>95.35</v>
      </c>
      <c r="D2195" s="5">
        <v>91.7</v>
      </c>
      <c r="E2195" s="5">
        <v>93.16</v>
      </c>
    </row>
    <row r="2196" spans="1:5">
      <c r="A2196" s="4" t="str">
        <f>"20228023208"</f>
        <v>20228023208</v>
      </c>
      <c r="B2196" s="4" t="str">
        <f t="shared" si="39"/>
        <v>20220201</v>
      </c>
      <c r="C2196" s="5">
        <v>90.91</v>
      </c>
      <c r="D2196" s="5">
        <v>94.7</v>
      </c>
      <c r="E2196" s="5">
        <v>93.18</v>
      </c>
    </row>
    <row r="2197" spans="1:5">
      <c r="A2197" s="4" t="str">
        <f>"20228023209"</f>
        <v>20228023209</v>
      </c>
      <c r="B2197" s="4" t="str">
        <f t="shared" si="39"/>
        <v>20220201</v>
      </c>
      <c r="C2197" s="5">
        <v>0</v>
      </c>
      <c r="D2197" s="5">
        <v>0</v>
      </c>
      <c r="E2197" s="5">
        <v>0</v>
      </c>
    </row>
    <row r="2198" spans="1:5">
      <c r="A2198" s="4" t="str">
        <f>"20228023210"</f>
        <v>20228023210</v>
      </c>
      <c r="B2198" s="4" t="str">
        <f t="shared" si="39"/>
        <v>20220201</v>
      </c>
      <c r="C2198" s="5">
        <v>84.52</v>
      </c>
      <c r="D2198" s="5">
        <v>84.7</v>
      </c>
      <c r="E2198" s="5">
        <v>84.63</v>
      </c>
    </row>
    <row r="2199" spans="1:5">
      <c r="A2199" s="4" t="str">
        <f>"20228023211"</f>
        <v>20228023211</v>
      </c>
      <c r="B2199" s="4" t="str">
        <f t="shared" si="39"/>
        <v>20220201</v>
      </c>
      <c r="C2199" s="5">
        <v>0</v>
      </c>
      <c r="D2199" s="5">
        <v>0</v>
      </c>
      <c r="E2199" s="5">
        <v>0</v>
      </c>
    </row>
    <row r="2200" spans="1:5">
      <c r="A2200" s="4" t="str">
        <f>"20228023212"</f>
        <v>20228023212</v>
      </c>
      <c r="B2200" s="4" t="str">
        <f t="shared" si="39"/>
        <v>20220201</v>
      </c>
      <c r="C2200" s="5">
        <v>0</v>
      </c>
      <c r="D2200" s="5">
        <v>0</v>
      </c>
      <c r="E2200" s="5">
        <v>0</v>
      </c>
    </row>
    <row r="2201" spans="1:5">
      <c r="A2201" s="4" t="str">
        <f>"20228023213"</f>
        <v>20228023213</v>
      </c>
      <c r="B2201" s="4" t="str">
        <f t="shared" si="39"/>
        <v>20220201</v>
      </c>
      <c r="C2201" s="5">
        <v>0</v>
      </c>
      <c r="D2201" s="5">
        <v>0</v>
      </c>
      <c r="E2201" s="5">
        <v>0</v>
      </c>
    </row>
    <row r="2202" spans="1:5">
      <c r="A2202" s="4" t="str">
        <f>"20228023214"</f>
        <v>20228023214</v>
      </c>
      <c r="B2202" s="4" t="str">
        <f t="shared" si="39"/>
        <v>20220201</v>
      </c>
      <c r="C2202" s="5">
        <v>90.27</v>
      </c>
      <c r="D2202" s="5">
        <v>87</v>
      </c>
      <c r="E2202" s="5">
        <v>88.31</v>
      </c>
    </row>
    <row r="2203" spans="1:5">
      <c r="A2203" s="4" t="str">
        <f>"20228023215"</f>
        <v>20228023215</v>
      </c>
      <c r="B2203" s="4" t="str">
        <f t="shared" si="39"/>
        <v>20220201</v>
      </c>
      <c r="C2203" s="5">
        <v>0</v>
      </c>
      <c r="D2203" s="5">
        <v>0</v>
      </c>
      <c r="E2203" s="5">
        <v>0</v>
      </c>
    </row>
    <row r="2204" spans="1:5">
      <c r="A2204" s="4" t="str">
        <f>"20228023216"</f>
        <v>20228023216</v>
      </c>
      <c r="B2204" s="4" t="str">
        <f t="shared" si="39"/>
        <v>20220201</v>
      </c>
      <c r="C2204" s="5">
        <v>93.78</v>
      </c>
      <c r="D2204" s="5">
        <v>92.7</v>
      </c>
      <c r="E2204" s="5">
        <v>93.13</v>
      </c>
    </row>
    <row r="2205" spans="1:5">
      <c r="A2205" s="4" t="str">
        <f>"20228023217"</f>
        <v>20228023217</v>
      </c>
      <c r="B2205" s="4" t="str">
        <f t="shared" si="39"/>
        <v>20220201</v>
      </c>
      <c r="C2205" s="5">
        <v>82.76</v>
      </c>
      <c r="D2205" s="5">
        <v>95</v>
      </c>
      <c r="E2205" s="5">
        <v>90.1</v>
      </c>
    </row>
    <row r="2206" spans="1:5">
      <c r="A2206" s="4" t="str">
        <f>"20228023218"</f>
        <v>20228023218</v>
      </c>
      <c r="B2206" s="4" t="str">
        <f t="shared" si="39"/>
        <v>20220201</v>
      </c>
      <c r="C2206" s="5">
        <v>0</v>
      </c>
      <c r="D2206" s="5">
        <v>0</v>
      </c>
      <c r="E2206" s="5">
        <v>0</v>
      </c>
    </row>
    <row r="2207" spans="1:5">
      <c r="A2207" s="4" t="str">
        <f>"20228023219"</f>
        <v>20228023219</v>
      </c>
      <c r="B2207" s="4" t="str">
        <f t="shared" si="39"/>
        <v>20220201</v>
      </c>
      <c r="C2207" s="5">
        <v>64.53</v>
      </c>
      <c r="D2207" s="5">
        <v>87.9</v>
      </c>
      <c r="E2207" s="5">
        <v>78.55</v>
      </c>
    </row>
    <row r="2208" spans="1:5">
      <c r="A2208" s="4" t="str">
        <f>"20228023220"</f>
        <v>20228023220</v>
      </c>
      <c r="B2208" s="4" t="str">
        <f t="shared" si="39"/>
        <v>20220201</v>
      </c>
      <c r="C2208" s="5">
        <v>77.17</v>
      </c>
      <c r="D2208" s="5">
        <v>89.5</v>
      </c>
      <c r="E2208" s="5">
        <v>84.57</v>
      </c>
    </row>
    <row r="2209" spans="1:5">
      <c r="A2209" s="4" t="str">
        <f>"20228023221"</f>
        <v>20228023221</v>
      </c>
      <c r="B2209" s="4" t="str">
        <f t="shared" si="39"/>
        <v>20220201</v>
      </c>
      <c r="C2209" s="5">
        <v>72.64</v>
      </c>
      <c r="D2209" s="5">
        <v>86.3</v>
      </c>
      <c r="E2209" s="5">
        <v>80.84</v>
      </c>
    </row>
    <row r="2210" spans="1:5">
      <c r="A2210" s="4" t="str">
        <f>"20228023222"</f>
        <v>20228023222</v>
      </c>
      <c r="B2210" s="4" t="str">
        <f t="shared" ref="B2210:B2228" si="40">"20220201"</f>
        <v>20220201</v>
      </c>
      <c r="C2210" s="5">
        <v>0</v>
      </c>
      <c r="D2210" s="5">
        <v>0</v>
      </c>
      <c r="E2210" s="5">
        <v>0</v>
      </c>
    </row>
    <row r="2211" spans="1:5">
      <c r="A2211" s="4" t="str">
        <f>"20228023223"</f>
        <v>20228023223</v>
      </c>
      <c r="B2211" s="4" t="str">
        <f t="shared" si="40"/>
        <v>20220201</v>
      </c>
      <c r="C2211" s="5">
        <v>93.59</v>
      </c>
      <c r="D2211" s="5">
        <v>88.8</v>
      </c>
      <c r="E2211" s="5">
        <v>90.72</v>
      </c>
    </row>
    <row r="2212" spans="1:5">
      <c r="A2212" s="4" t="str">
        <f>"20228023224"</f>
        <v>20228023224</v>
      </c>
      <c r="B2212" s="4" t="str">
        <f t="shared" si="40"/>
        <v>20220201</v>
      </c>
      <c r="C2212" s="5">
        <v>81.99</v>
      </c>
      <c r="D2212" s="5">
        <v>101.6</v>
      </c>
      <c r="E2212" s="5">
        <v>93.76</v>
      </c>
    </row>
    <row r="2213" spans="1:5">
      <c r="A2213" s="4" t="str">
        <f>"20228023225"</f>
        <v>20228023225</v>
      </c>
      <c r="B2213" s="4" t="str">
        <f t="shared" si="40"/>
        <v>20220201</v>
      </c>
      <c r="C2213" s="5">
        <v>0</v>
      </c>
      <c r="D2213" s="5">
        <v>0</v>
      </c>
      <c r="E2213" s="5">
        <v>0</v>
      </c>
    </row>
    <row r="2214" spans="1:5">
      <c r="A2214" s="4" t="str">
        <f>"20228023226"</f>
        <v>20228023226</v>
      </c>
      <c r="B2214" s="4" t="str">
        <f t="shared" si="40"/>
        <v>20220201</v>
      </c>
      <c r="C2214" s="5">
        <v>90.87</v>
      </c>
      <c r="D2214" s="5">
        <v>96.3</v>
      </c>
      <c r="E2214" s="5">
        <v>94.13</v>
      </c>
    </row>
    <row r="2215" spans="1:5">
      <c r="A2215" s="4" t="str">
        <f>"20228023227"</f>
        <v>20228023227</v>
      </c>
      <c r="B2215" s="4" t="str">
        <f t="shared" si="40"/>
        <v>20220201</v>
      </c>
      <c r="C2215" s="5">
        <v>0</v>
      </c>
      <c r="D2215" s="5">
        <v>0</v>
      </c>
      <c r="E2215" s="5">
        <v>0</v>
      </c>
    </row>
    <row r="2216" spans="1:5">
      <c r="A2216" s="4" t="str">
        <f>"20228023228"</f>
        <v>20228023228</v>
      </c>
      <c r="B2216" s="4" t="str">
        <f t="shared" si="40"/>
        <v>20220201</v>
      </c>
      <c r="C2216" s="5">
        <v>0</v>
      </c>
      <c r="D2216" s="5">
        <v>0</v>
      </c>
      <c r="E2216" s="5">
        <v>0</v>
      </c>
    </row>
    <row r="2217" spans="1:5">
      <c r="A2217" s="4" t="str">
        <f>"20228023229"</f>
        <v>20228023229</v>
      </c>
      <c r="B2217" s="4" t="str">
        <f t="shared" si="40"/>
        <v>20220201</v>
      </c>
      <c r="C2217" s="5">
        <v>0</v>
      </c>
      <c r="D2217" s="5">
        <v>0</v>
      </c>
      <c r="E2217" s="5">
        <v>0</v>
      </c>
    </row>
    <row r="2218" spans="1:5">
      <c r="A2218" s="4" t="str">
        <f>"20228023230"</f>
        <v>20228023230</v>
      </c>
      <c r="B2218" s="4" t="str">
        <f t="shared" si="40"/>
        <v>20220201</v>
      </c>
      <c r="C2218" s="5">
        <v>0</v>
      </c>
      <c r="D2218" s="5">
        <v>0</v>
      </c>
      <c r="E2218" s="5">
        <v>0</v>
      </c>
    </row>
    <row r="2219" spans="1:5">
      <c r="A2219" s="4" t="str">
        <f>"20228023301"</f>
        <v>20228023301</v>
      </c>
      <c r="B2219" s="4" t="str">
        <f t="shared" si="40"/>
        <v>20220201</v>
      </c>
      <c r="C2219" s="5">
        <v>0</v>
      </c>
      <c r="D2219" s="5">
        <v>0</v>
      </c>
      <c r="E2219" s="5">
        <v>0</v>
      </c>
    </row>
    <row r="2220" spans="1:5">
      <c r="A2220" s="4" t="str">
        <f>"20228023302"</f>
        <v>20228023302</v>
      </c>
      <c r="B2220" s="4" t="str">
        <f t="shared" si="40"/>
        <v>20220201</v>
      </c>
      <c r="C2220" s="5">
        <v>85.34</v>
      </c>
      <c r="D2220" s="5">
        <v>89.7</v>
      </c>
      <c r="E2220" s="5">
        <v>87.96</v>
      </c>
    </row>
    <row r="2221" spans="1:5">
      <c r="A2221" s="4" t="str">
        <f>"20228023303"</f>
        <v>20228023303</v>
      </c>
      <c r="B2221" s="4" t="str">
        <f t="shared" si="40"/>
        <v>20220201</v>
      </c>
      <c r="C2221" s="5">
        <v>0</v>
      </c>
      <c r="D2221" s="5">
        <v>0</v>
      </c>
      <c r="E2221" s="5">
        <v>0</v>
      </c>
    </row>
    <row r="2222" spans="1:5">
      <c r="A2222" s="4" t="str">
        <f>"20228023304"</f>
        <v>20228023304</v>
      </c>
      <c r="B2222" s="4" t="str">
        <f t="shared" si="40"/>
        <v>20220201</v>
      </c>
      <c r="C2222" s="5">
        <v>83.63</v>
      </c>
      <c r="D2222" s="5">
        <v>87.2</v>
      </c>
      <c r="E2222" s="5">
        <v>85.77</v>
      </c>
    </row>
    <row r="2223" spans="1:5">
      <c r="A2223" s="4" t="str">
        <f>"20228023305"</f>
        <v>20228023305</v>
      </c>
      <c r="B2223" s="4" t="str">
        <f t="shared" si="40"/>
        <v>20220201</v>
      </c>
      <c r="C2223" s="5">
        <v>0</v>
      </c>
      <c r="D2223" s="5">
        <v>0</v>
      </c>
      <c r="E2223" s="5">
        <v>0</v>
      </c>
    </row>
    <row r="2224" spans="1:5">
      <c r="A2224" s="4" t="str">
        <f>"20228023306"</f>
        <v>20228023306</v>
      </c>
      <c r="B2224" s="4" t="str">
        <f t="shared" si="40"/>
        <v>20220201</v>
      </c>
      <c r="C2224" s="5">
        <v>81.8</v>
      </c>
      <c r="D2224" s="5">
        <v>95.8</v>
      </c>
      <c r="E2224" s="5">
        <v>90.2</v>
      </c>
    </row>
    <row r="2225" spans="1:5">
      <c r="A2225" s="4" t="str">
        <f>"20228023307"</f>
        <v>20228023307</v>
      </c>
      <c r="B2225" s="4" t="str">
        <f t="shared" si="40"/>
        <v>20220201</v>
      </c>
      <c r="C2225" s="5">
        <v>0</v>
      </c>
      <c r="D2225" s="5">
        <v>0</v>
      </c>
      <c r="E2225" s="5">
        <v>0</v>
      </c>
    </row>
    <row r="2226" spans="1:5">
      <c r="A2226" s="4" t="str">
        <f>"20228023308"</f>
        <v>20228023308</v>
      </c>
      <c r="B2226" s="4" t="str">
        <f t="shared" si="40"/>
        <v>20220201</v>
      </c>
      <c r="C2226" s="5">
        <v>79.37</v>
      </c>
      <c r="D2226" s="5">
        <v>89.7</v>
      </c>
      <c r="E2226" s="5">
        <v>85.57</v>
      </c>
    </row>
    <row r="2227" spans="1:5">
      <c r="A2227" s="4" t="str">
        <f>"20228023309"</f>
        <v>20228023309</v>
      </c>
      <c r="B2227" s="4" t="str">
        <f t="shared" si="40"/>
        <v>20220201</v>
      </c>
      <c r="C2227" s="5">
        <v>87.64</v>
      </c>
      <c r="D2227" s="5">
        <v>88.1</v>
      </c>
      <c r="E2227" s="5">
        <v>87.92</v>
      </c>
    </row>
    <row r="2228" spans="1:5">
      <c r="A2228" s="4" t="str">
        <f>"20228023310"</f>
        <v>20228023310</v>
      </c>
      <c r="B2228" s="4" t="str">
        <f t="shared" si="40"/>
        <v>20220201</v>
      </c>
      <c r="C2228" s="5">
        <v>0</v>
      </c>
      <c r="D2228" s="5">
        <v>0</v>
      </c>
      <c r="E2228" s="5">
        <v>0</v>
      </c>
    </row>
    <row r="2229" spans="1:5">
      <c r="A2229" s="4" t="str">
        <f>"20228023311"</f>
        <v>20228023311</v>
      </c>
      <c r="B2229" s="4" t="str">
        <f t="shared" ref="B2229:B2292" si="41">"20220102"</f>
        <v>20220102</v>
      </c>
      <c r="C2229" s="5">
        <v>75.31</v>
      </c>
      <c r="D2229" s="5">
        <v>71.6</v>
      </c>
      <c r="E2229" s="5">
        <v>73.08</v>
      </c>
    </row>
    <row r="2230" spans="1:5">
      <c r="A2230" s="4" t="str">
        <f>"20228023312"</f>
        <v>20228023312</v>
      </c>
      <c r="B2230" s="4" t="str">
        <f t="shared" si="41"/>
        <v>20220102</v>
      </c>
      <c r="C2230" s="5">
        <v>0</v>
      </c>
      <c r="D2230" s="5">
        <v>0</v>
      </c>
      <c r="E2230" s="5">
        <v>0</v>
      </c>
    </row>
    <row r="2231" spans="1:5">
      <c r="A2231" s="4" t="str">
        <f>"20228023313"</f>
        <v>20228023313</v>
      </c>
      <c r="B2231" s="4" t="str">
        <f t="shared" si="41"/>
        <v>20220102</v>
      </c>
      <c r="C2231" s="5">
        <v>0</v>
      </c>
      <c r="D2231" s="5">
        <v>0</v>
      </c>
      <c r="E2231" s="5">
        <v>0</v>
      </c>
    </row>
    <row r="2232" spans="1:5">
      <c r="A2232" s="4" t="str">
        <f>"20228023314"</f>
        <v>20228023314</v>
      </c>
      <c r="B2232" s="4" t="str">
        <f t="shared" si="41"/>
        <v>20220102</v>
      </c>
      <c r="C2232" s="5">
        <v>70.21</v>
      </c>
      <c r="D2232" s="5">
        <v>87.6</v>
      </c>
      <c r="E2232" s="5">
        <v>80.64</v>
      </c>
    </row>
    <row r="2233" spans="1:5">
      <c r="A2233" s="4" t="str">
        <f>"20228023315"</f>
        <v>20228023315</v>
      </c>
      <c r="B2233" s="4" t="str">
        <f t="shared" si="41"/>
        <v>20220102</v>
      </c>
      <c r="C2233" s="5">
        <v>0</v>
      </c>
      <c r="D2233" s="5">
        <v>0</v>
      </c>
      <c r="E2233" s="5">
        <v>0</v>
      </c>
    </row>
    <row r="2234" spans="1:5">
      <c r="A2234" s="4" t="str">
        <f>"20228023316"</f>
        <v>20228023316</v>
      </c>
      <c r="B2234" s="4" t="str">
        <f t="shared" si="41"/>
        <v>20220102</v>
      </c>
      <c r="C2234" s="5">
        <v>0</v>
      </c>
      <c r="D2234" s="5">
        <v>0</v>
      </c>
      <c r="E2234" s="5">
        <v>0</v>
      </c>
    </row>
    <row r="2235" spans="1:5">
      <c r="A2235" s="4" t="str">
        <f>"20228023317"</f>
        <v>20228023317</v>
      </c>
      <c r="B2235" s="4" t="str">
        <f t="shared" si="41"/>
        <v>20220102</v>
      </c>
      <c r="C2235" s="5">
        <v>77.73</v>
      </c>
      <c r="D2235" s="5">
        <v>66.8</v>
      </c>
      <c r="E2235" s="5">
        <v>71.17</v>
      </c>
    </row>
    <row r="2236" spans="1:5">
      <c r="A2236" s="4" t="str">
        <f>"20228023318"</f>
        <v>20228023318</v>
      </c>
      <c r="B2236" s="4" t="str">
        <f t="shared" si="41"/>
        <v>20220102</v>
      </c>
      <c r="C2236" s="5">
        <v>0</v>
      </c>
      <c r="D2236" s="5">
        <v>0</v>
      </c>
      <c r="E2236" s="5">
        <v>0</v>
      </c>
    </row>
    <row r="2237" spans="1:5">
      <c r="A2237" s="4" t="str">
        <f>"20228023319"</f>
        <v>20228023319</v>
      </c>
      <c r="B2237" s="4" t="str">
        <f t="shared" si="41"/>
        <v>20220102</v>
      </c>
      <c r="C2237" s="5">
        <v>75.18</v>
      </c>
      <c r="D2237" s="5">
        <v>75</v>
      </c>
      <c r="E2237" s="5">
        <v>75.07</v>
      </c>
    </row>
    <row r="2238" spans="1:5">
      <c r="A2238" s="4" t="str">
        <f>"20228023320"</f>
        <v>20228023320</v>
      </c>
      <c r="B2238" s="4" t="str">
        <f t="shared" si="41"/>
        <v>20220102</v>
      </c>
      <c r="C2238" s="5">
        <v>0</v>
      </c>
      <c r="D2238" s="5">
        <v>0</v>
      </c>
      <c r="E2238" s="5">
        <v>0</v>
      </c>
    </row>
    <row r="2239" spans="1:5">
      <c r="A2239" s="4" t="str">
        <f>"20228023321"</f>
        <v>20228023321</v>
      </c>
      <c r="B2239" s="4" t="str">
        <f t="shared" si="41"/>
        <v>20220102</v>
      </c>
      <c r="C2239" s="5">
        <v>0</v>
      </c>
      <c r="D2239" s="5">
        <v>0</v>
      </c>
      <c r="E2239" s="5">
        <v>0</v>
      </c>
    </row>
    <row r="2240" spans="1:5">
      <c r="A2240" s="4" t="str">
        <f>"20228023322"</f>
        <v>20228023322</v>
      </c>
      <c r="B2240" s="4" t="str">
        <f t="shared" si="41"/>
        <v>20220102</v>
      </c>
      <c r="C2240" s="5">
        <v>82.64</v>
      </c>
      <c r="D2240" s="5">
        <v>70.4</v>
      </c>
      <c r="E2240" s="5">
        <v>75.3</v>
      </c>
    </row>
    <row r="2241" spans="1:5">
      <c r="A2241" s="4" t="str">
        <f>"20228023323"</f>
        <v>20228023323</v>
      </c>
      <c r="B2241" s="4" t="str">
        <f t="shared" si="41"/>
        <v>20220102</v>
      </c>
      <c r="C2241" s="5">
        <v>86.72</v>
      </c>
      <c r="D2241" s="5">
        <v>86.2</v>
      </c>
      <c r="E2241" s="5">
        <v>86.41</v>
      </c>
    </row>
    <row r="2242" spans="1:5">
      <c r="A2242" s="4" t="str">
        <f>"20228023324"</f>
        <v>20228023324</v>
      </c>
      <c r="B2242" s="4" t="str">
        <f t="shared" si="41"/>
        <v>20220102</v>
      </c>
      <c r="C2242" s="5">
        <v>0</v>
      </c>
      <c r="D2242" s="5">
        <v>0</v>
      </c>
      <c r="E2242" s="5">
        <v>0</v>
      </c>
    </row>
    <row r="2243" spans="1:5">
      <c r="A2243" s="4" t="str">
        <f>"20228023325"</f>
        <v>20228023325</v>
      </c>
      <c r="B2243" s="4" t="str">
        <f t="shared" si="41"/>
        <v>20220102</v>
      </c>
      <c r="C2243" s="5">
        <v>75.78</v>
      </c>
      <c r="D2243" s="5">
        <v>82.9</v>
      </c>
      <c r="E2243" s="5">
        <v>80.05</v>
      </c>
    </row>
    <row r="2244" spans="1:5">
      <c r="A2244" s="4" t="str">
        <f>"20228023326"</f>
        <v>20228023326</v>
      </c>
      <c r="B2244" s="4" t="str">
        <f t="shared" si="41"/>
        <v>20220102</v>
      </c>
      <c r="C2244" s="5">
        <v>86.13</v>
      </c>
      <c r="D2244" s="5">
        <v>87.1</v>
      </c>
      <c r="E2244" s="5">
        <v>86.71</v>
      </c>
    </row>
    <row r="2245" spans="1:5">
      <c r="A2245" s="4" t="str">
        <f>"20228023327"</f>
        <v>20228023327</v>
      </c>
      <c r="B2245" s="4" t="str">
        <f t="shared" si="41"/>
        <v>20220102</v>
      </c>
      <c r="C2245" s="5">
        <v>71.29</v>
      </c>
      <c r="D2245" s="5">
        <v>85.8</v>
      </c>
      <c r="E2245" s="5">
        <v>80</v>
      </c>
    </row>
    <row r="2246" spans="1:5">
      <c r="A2246" s="4" t="str">
        <f>"20228023328"</f>
        <v>20228023328</v>
      </c>
      <c r="B2246" s="4" t="str">
        <f t="shared" si="41"/>
        <v>20220102</v>
      </c>
      <c r="C2246" s="5">
        <v>94.56</v>
      </c>
      <c r="D2246" s="5">
        <v>89.8</v>
      </c>
      <c r="E2246" s="5">
        <v>91.7</v>
      </c>
    </row>
    <row r="2247" spans="1:5">
      <c r="A2247" s="4" t="str">
        <f>"20228023329"</f>
        <v>20228023329</v>
      </c>
      <c r="B2247" s="4" t="str">
        <f t="shared" si="41"/>
        <v>20220102</v>
      </c>
      <c r="C2247" s="5">
        <v>82.48</v>
      </c>
      <c r="D2247" s="5">
        <v>89.9</v>
      </c>
      <c r="E2247" s="5">
        <v>86.93</v>
      </c>
    </row>
    <row r="2248" spans="1:5">
      <c r="A2248" s="4" t="str">
        <f>"20228023330"</f>
        <v>20228023330</v>
      </c>
      <c r="B2248" s="4" t="str">
        <f t="shared" si="41"/>
        <v>20220102</v>
      </c>
      <c r="C2248" s="5">
        <v>0</v>
      </c>
      <c r="D2248" s="5">
        <v>0</v>
      </c>
      <c r="E2248" s="5">
        <v>0</v>
      </c>
    </row>
    <row r="2249" spans="1:5">
      <c r="A2249" s="4" t="str">
        <f>"20228023401"</f>
        <v>20228023401</v>
      </c>
      <c r="B2249" s="4" t="str">
        <f t="shared" si="41"/>
        <v>20220102</v>
      </c>
      <c r="C2249" s="5">
        <v>0</v>
      </c>
      <c r="D2249" s="5">
        <v>0</v>
      </c>
      <c r="E2249" s="5">
        <v>0</v>
      </c>
    </row>
    <row r="2250" spans="1:5">
      <c r="A2250" s="4" t="str">
        <f>"20228023402"</f>
        <v>20228023402</v>
      </c>
      <c r="B2250" s="4" t="str">
        <f t="shared" si="41"/>
        <v>20220102</v>
      </c>
      <c r="C2250" s="5">
        <v>87.53</v>
      </c>
      <c r="D2250" s="5">
        <v>82.4</v>
      </c>
      <c r="E2250" s="5">
        <v>84.45</v>
      </c>
    </row>
    <row r="2251" spans="1:5">
      <c r="A2251" s="4" t="str">
        <f>"20228023403"</f>
        <v>20228023403</v>
      </c>
      <c r="B2251" s="4" t="str">
        <f t="shared" si="41"/>
        <v>20220102</v>
      </c>
      <c r="C2251" s="5">
        <v>87.46</v>
      </c>
      <c r="D2251" s="5">
        <v>88</v>
      </c>
      <c r="E2251" s="5">
        <v>87.78</v>
      </c>
    </row>
    <row r="2252" spans="1:5">
      <c r="A2252" s="4" t="str">
        <f>"20228023404"</f>
        <v>20228023404</v>
      </c>
      <c r="B2252" s="4" t="str">
        <f t="shared" si="41"/>
        <v>20220102</v>
      </c>
      <c r="C2252" s="5">
        <v>0</v>
      </c>
      <c r="D2252" s="5">
        <v>0</v>
      </c>
      <c r="E2252" s="5">
        <v>0</v>
      </c>
    </row>
    <row r="2253" spans="1:5">
      <c r="A2253" s="4" t="str">
        <f>"20228023405"</f>
        <v>20228023405</v>
      </c>
      <c r="B2253" s="4" t="str">
        <f t="shared" si="41"/>
        <v>20220102</v>
      </c>
      <c r="C2253" s="5">
        <v>61.37</v>
      </c>
      <c r="D2253" s="5">
        <v>70.7</v>
      </c>
      <c r="E2253" s="5">
        <v>66.97</v>
      </c>
    </row>
    <row r="2254" spans="1:5">
      <c r="A2254" s="4" t="str">
        <f>"20228023406"</f>
        <v>20228023406</v>
      </c>
      <c r="B2254" s="4" t="str">
        <f t="shared" si="41"/>
        <v>20220102</v>
      </c>
      <c r="C2254" s="5">
        <v>0</v>
      </c>
      <c r="D2254" s="5">
        <v>0</v>
      </c>
      <c r="E2254" s="5">
        <v>0</v>
      </c>
    </row>
    <row r="2255" spans="1:5">
      <c r="A2255" s="4" t="str">
        <f>"20228023407"</f>
        <v>20228023407</v>
      </c>
      <c r="B2255" s="4" t="str">
        <f t="shared" si="41"/>
        <v>20220102</v>
      </c>
      <c r="C2255" s="5">
        <v>79.55</v>
      </c>
      <c r="D2255" s="5">
        <v>76.7</v>
      </c>
      <c r="E2255" s="5">
        <v>77.84</v>
      </c>
    </row>
    <row r="2256" spans="1:5">
      <c r="A2256" s="4" t="str">
        <f>"20228023408"</f>
        <v>20228023408</v>
      </c>
      <c r="B2256" s="4" t="str">
        <f t="shared" si="41"/>
        <v>20220102</v>
      </c>
      <c r="C2256" s="5">
        <v>76.93</v>
      </c>
      <c r="D2256" s="5">
        <v>76.4</v>
      </c>
      <c r="E2256" s="5">
        <v>76.61</v>
      </c>
    </row>
    <row r="2257" spans="1:5">
      <c r="A2257" s="4" t="str">
        <f>"20228023409"</f>
        <v>20228023409</v>
      </c>
      <c r="B2257" s="4" t="str">
        <f t="shared" si="41"/>
        <v>20220102</v>
      </c>
      <c r="C2257" s="5">
        <v>0</v>
      </c>
      <c r="D2257" s="5">
        <v>0</v>
      </c>
      <c r="E2257" s="5">
        <v>0</v>
      </c>
    </row>
    <row r="2258" spans="1:5">
      <c r="A2258" s="4" t="str">
        <f>"20228023410"</f>
        <v>20228023410</v>
      </c>
      <c r="B2258" s="4" t="str">
        <f t="shared" si="41"/>
        <v>20220102</v>
      </c>
      <c r="C2258" s="5">
        <v>84.93</v>
      </c>
      <c r="D2258" s="5">
        <v>87.8</v>
      </c>
      <c r="E2258" s="5">
        <v>86.65</v>
      </c>
    </row>
    <row r="2259" spans="1:5">
      <c r="A2259" s="4" t="str">
        <f>"20228023411"</f>
        <v>20228023411</v>
      </c>
      <c r="B2259" s="4" t="str">
        <f t="shared" si="41"/>
        <v>20220102</v>
      </c>
      <c r="C2259" s="5">
        <v>0</v>
      </c>
      <c r="D2259" s="5">
        <v>0</v>
      </c>
      <c r="E2259" s="5">
        <v>0</v>
      </c>
    </row>
    <row r="2260" spans="1:5">
      <c r="A2260" s="4" t="str">
        <f>"20228023412"</f>
        <v>20228023412</v>
      </c>
      <c r="B2260" s="4" t="str">
        <f t="shared" si="41"/>
        <v>20220102</v>
      </c>
      <c r="C2260" s="5">
        <v>0</v>
      </c>
      <c r="D2260" s="5">
        <v>74.6</v>
      </c>
      <c r="E2260" s="5">
        <v>44.76</v>
      </c>
    </row>
    <row r="2261" spans="1:5">
      <c r="A2261" s="4" t="str">
        <f>"20228023413"</f>
        <v>20228023413</v>
      </c>
      <c r="B2261" s="4" t="str">
        <f t="shared" si="41"/>
        <v>20220102</v>
      </c>
      <c r="C2261" s="5">
        <v>0</v>
      </c>
      <c r="D2261" s="5">
        <v>0</v>
      </c>
      <c r="E2261" s="5">
        <v>0</v>
      </c>
    </row>
    <row r="2262" spans="1:5">
      <c r="A2262" s="4" t="str">
        <f>"20228023414"</f>
        <v>20228023414</v>
      </c>
      <c r="B2262" s="4" t="str">
        <f t="shared" si="41"/>
        <v>20220102</v>
      </c>
      <c r="C2262" s="5">
        <v>0</v>
      </c>
      <c r="D2262" s="5">
        <v>0</v>
      </c>
      <c r="E2262" s="5">
        <v>0</v>
      </c>
    </row>
    <row r="2263" spans="1:5">
      <c r="A2263" s="4" t="str">
        <f>"20228023415"</f>
        <v>20228023415</v>
      </c>
      <c r="B2263" s="4" t="str">
        <f t="shared" si="41"/>
        <v>20220102</v>
      </c>
      <c r="C2263" s="5">
        <v>0</v>
      </c>
      <c r="D2263" s="5">
        <v>0</v>
      </c>
      <c r="E2263" s="5">
        <v>0</v>
      </c>
    </row>
    <row r="2264" spans="1:5">
      <c r="A2264" s="4" t="str">
        <f>"20228023416"</f>
        <v>20228023416</v>
      </c>
      <c r="B2264" s="4" t="str">
        <f t="shared" si="41"/>
        <v>20220102</v>
      </c>
      <c r="C2264" s="5">
        <v>77.68</v>
      </c>
      <c r="D2264" s="5">
        <v>86.2</v>
      </c>
      <c r="E2264" s="5">
        <v>82.79</v>
      </c>
    </row>
    <row r="2265" spans="1:5">
      <c r="A2265" s="4" t="str">
        <f>"20228023417"</f>
        <v>20228023417</v>
      </c>
      <c r="B2265" s="4" t="str">
        <f t="shared" si="41"/>
        <v>20220102</v>
      </c>
      <c r="C2265" s="5">
        <v>68.62</v>
      </c>
      <c r="D2265" s="5">
        <v>74.6</v>
      </c>
      <c r="E2265" s="5">
        <v>72.21</v>
      </c>
    </row>
    <row r="2266" spans="1:5">
      <c r="A2266" s="4" t="str">
        <f>"20228023418"</f>
        <v>20228023418</v>
      </c>
      <c r="B2266" s="4" t="str">
        <f t="shared" si="41"/>
        <v>20220102</v>
      </c>
      <c r="C2266" s="5">
        <v>67.66</v>
      </c>
      <c r="D2266" s="5">
        <v>80</v>
      </c>
      <c r="E2266" s="5">
        <v>75.06</v>
      </c>
    </row>
    <row r="2267" spans="1:5">
      <c r="A2267" s="4" t="str">
        <f>"20228023419"</f>
        <v>20228023419</v>
      </c>
      <c r="B2267" s="4" t="str">
        <f t="shared" si="41"/>
        <v>20220102</v>
      </c>
      <c r="C2267" s="5">
        <v>77.99</v>
      </c>
      <c r="D2267" s="5">
        <v>86.3</v>
      </c>
      <c r="E2267" s="5">
        <v>82.98</v>
      </c>
    </row>
    <row r="2268" spans="1:5">
      <c r="A2268" s="4" t="str">
        <f>"20228023420"</f>
        <v>20228023420</v>
      </c>
      <c r="B2268" s="4" t="str">
        <f t="shared" si="41"/>
        <v>20220102</v>
      </c>
      <c r="C2268" s="5">
        <v>84.82</v>
      </c>
      <c r="D2268" s="5">
        <v>78.1</v>
      </c>
      <c r="E2268" s="5">
        <v>80.79</v>
      </c>
    </row>
    <row r="2269" spans="1:5">
      <c r="A2269" s="4" t="str">
        <f>"20228023421"</f>
        <v>20228023421</v>
      </c>
      <c r="B2269" s="4" t="str">
        <f t="shared" si="41"/>
        <v>20220102</v>
      </c>
      <c r="C2269" s="5">
        <v>58.15</v>
      </c>
      <c r="D2269" s="5">
        <v>49.8</v>
      </c>
      <c r="E2269" s="5">
        <v>53.14</v>
      </c>
    </row>
    <row r="2270" spans="1:5">
      <c r="A2270" s="4" t="str">
        <f>"20228023422"</f>
        <v>20228023422</v>
      </c>
      <c r="B2270" s="4" t="str">
        <f t="shared" si="41"/>
        <v>20220102</v>
      </c>
      <c r="C2270" s="5">
        <v>92.19</v>
      </c>
      <c r="D2270" s="5">
        <v>84.1</v>
      </c>
      <c r="E2270" s="5">
        <v>87.34</v>
      </c>
    </row>
    <row r="2271" spans="1:5">
      <c r="A2271" s="4" t="str">
        <f>"20228023423"</f>
        <v>20228023423</v>
      </c>
      <c r="B2271" s="4" t="str">
        <f t="shared" si="41"/>
        <v>20220102</v>
      </c>
      <c r="C2271" s="5">
        <v>78.57</v>
      </c>
      <c r="D2271" s="5">
        <v>91.2</v>
      </c>
      <c r="E2271" s="5">
        <v>86.15</v>
      </c>
    </row>
    <row r="2272" spans="1:5">
      <c r="A2272" s="4" t="str">
        <f>"20228023424"</f>
        <v>20228023424</v>
      </c>
      <c r="B2272" s="4" t="str">
        <f t="shared" si="41"/>
        <v>20220102</v>
      </c>
      <c r="C2272" s="5">
        <v>70.24</v>
      </c>
      <c r="D2272" s="5">
        <v>76.1</v>
      </c>
      <c r="E2272" s="5">
        <v>73.76</v>
      </c>
    </row>
    <row r="2273" spans="1:5">
      <c r="A2273" s="4" t="str">
        <f>"20228023425"</f>
        <v>20228023425</v>
      </c>
      <c r="B2273" s="4" t="str">
        <f t="shared" si="41"/>
        <v>20220102</v>
      </c>
      <c r="C2273" s="5">
        <v>95.76</v>
      </c>
      <c r="D2273" s="5">
        <v>88.2</v>
      </c>
      <c r="E2273" s="5">
        <v>91.22</v>
      </c>
    </row>
    <row r="2274" spans="1:5">
      <c r="A2274" s="4" t="str">
        <f>"20228023426"</f>
        <v>20228023426</v>
      </c>
      <c r="B2274" s="4" t="str">
        <f t="shared" si="41"/>
        <v>20220102</v>
      </c>
      <c r="C2274" s="5">
        <v>0</v>
      </c>
      <c r="D2274" s="5">
        <v>0</v>
      </c>
      <c r="E2274" s="5">
        <v>0</v>
      </c>
    </row>
    <row r="2275" spans="1:5">
      <c r="A2275" s="4" t="str">
        <f>"20228023427"</f>
        <v>20228023427</v>
      </c>
      <c r="B2275" s="4" t="str">
        <f t="shared" si="41"/>
        <v>20220102</v>
      </c>
      <c r="C2275" s="5">
        <v>0</v>
      </c>
      <c r="D2275" s="5">
        <v>0</v>
      </c>
      <c r="E2275" s="5">
        <v>0</v>
      </c>
    </row>
    <row r="2276" spans="1:5">
      <c r="A2276" s="4" t="str">
        <f>"20228023428"</f>
        <v>20228023428</v>
      </c>
      <c r="B2276" s="4" t="str">
        <f t="shared" si="41"/>
        <v>20220102</v>
      </c>
      <c r="C2276" s="5">
        <v>72.16</v>
      </c>
      <c r="D2276" s="5">
        <v>72</v>
      </c>
      <c r="E2276" s="5">
        <v>72.06</v>
      </c>
    </row>
    <row r="2277" spans="1:5">
      <c r="A2277" s="4" t="str">
        <f>"20228023429"</f>
        <v>20228023429</v>
      </c>
      <c r="B2277" s="4" t="str">
        <f t="shared" si="41"/>
        <v>20220102</v>
      </c>
      <c r="C2277" s="5">
        <v>68.63</v>
      </c>
      <c r="D2277" s="5">
        <v>78.5</v>
      </c>
      <c r="E2277" s="5">
        <v>74.55</v>
      </c>
    </row>
    <row r="2278" spans="1:5">
      <c r="A2278" s="4" t="str">
        <f>"20228023430"</f>
        <v>20228023430</v>
      </c>
      <c r="B2278" s="4" t="str">
        <f t="shared" si="41"/>
        <v>20220102</v>
      </c>
      <c r="C2278" s="5">
        <v>85.2</v>
      </c>
      <c r="D2278" s="5">
        <v>78.5</v>
      </c>
      <c r="E2278" s="5">
        <v>81.18</v>
      </c>
    </row>
    <row r="2279" spans="1:5">
      <c r="A2279" s="4" t="str">
        <f>"20228023501"</f>
        <v>20228023501</v>
      </c>
      <c r="B2279" s="4" t="str">
        <f t="shared" si="41"/>
        <v>20220102</v>
      </c>
      <c r="C2279" s="5">
        <v>74.02</v>
      </c>
      <c r="D2279" s="5">
        <v>97.7</v>
      </c>
      <c r="E2279" s="5">
        <v>88.23</v>
      </c>
    </row>
    <row r="2280" spans="1:5">
      <c r="A2280" s="4" t="str">
        <f>"20228023502"</f>
        <v>20228023502</v>
      </c>
      <c r="B2280" s="4" t="str">
        <f t="shared" si="41"/>
        <v>20220102</v>
      </c>
      <c r="C2280" s="5">
        <v>0</v>
      </c>
      <c r="D2280" s="5">
        <v>0</v>
      </c>
      <c r="E2280" s="5">
        <v>0</v>
      </c>
    </row>
    <row r="2281" spans="1:5">
      <c r="A2281" s="4" t="str">
        <f>"20228023503"</f>
        <v>20228023503</v>
      </c>
      <c r="B2281" s="4" t="str">
        <f t="shared" si="41"/>
        <v>20220102</v>
      </c>
      <c r="C2281" s="5">
        <v>0</v>
      </c>
      <c r="D2281" s="5">
        <v>0</v>
      </c>
      <c r="E2281" s="5">
        <v>0</v>
      </c>
    </row>
    <row r="2282" spans="1:5">
      <c r="A2282" s="4" t="str">
        <f>"20228023504"</f>
        <v>20228023504</v>
      </c>
      <c r="B2282" s="4" t="str">
        <f t="shared" si="41"/>
        <v>20220102</v>
      </c>
      <c r="C2282" s="5">
        <v>0</v>
      </c>
      <c r="D2282" s="5">
        <v>0</v>
      </c>
      <c r="E2282" s="5">
        <v>0</v>
      </c>
    </row>
    <row r="2283" spans="1:5">
      <c r="A2283" s="4" t="str">
        <f>"20228023505"</f>
        <v>20228023505</v>
      </c>
      <c r="B2283" s="4" t="str">
        <f t="shared" si="41"/>
        <v>20220102</v>
      </c>
      <c r="C2283" s="5">
        <v>77.08</v>
      </c>
      <c r="D2283" s="5">
        <v>68.7</v>
      </c>
      <c r="E2283" s="5">
        <v>72.05</v>
      </c>
    </row>
    <row r="2284" spans="1:5">
      <c r="A2284" s="4" t="str">
        <f>"20228023506"</f>
        <v>20228023506</v>
      </c>
      <c r="B2284" s="4" t="str">
        <f t="shared" si="41"/>
        <v>20220102</v>
      </c>
      <c r="C2284" s="5">
        <v>86.14</v>
      </c>
      <c r="D2284" s="5">
        <v>80.2</v>
      </c>
      <c r="E2284" s="5">
        <v>82.58</v>
      </c>
    </row>
    <row r="2285" spans="1:5">
      <c r="A2285" s="4" t="str">
        <f>"20228023507"</f>
        <v>20228023507</v>
      </c>
      <c r="B2285" s="4" t="str">
        <f t="shared" si="41"/>
        <v>20220102</v>
      </c>
      <c r="C2285" s="5">
        <v>0</v>
      </c>
      <c r="D2285" s="5">
        <v>0</v>
      </c>
      <c r="E2285" s="5">
        <v>0</v>
      </c>
    </row>
    <row r="2286" spans="1:5">
      <c r="A2286" s="4" t="str">
        <f>"20228023508"</f>
        <v>20228023508</v>
      </c>
      <c r="B2286" s="4" t="str">
        <f t="shared" si="41"/>
        <v>20220102</v>
      </c>
      <c r="C2286" s="5">
        <v>76.35</v>
      </c>
      <c r="D2286" s="5">
        <v>62.4</v>
      </c>
      <c r="E2286" s="5">
        <v>67.98</v>
      </c>
    </row>
    <row r="2287" spans="1:5">
      <c r="A2287" s="4" t="str">
        <f>"20228023509"</f>
        <v>20228023509</v>
      </c>
      <c r="B2287" s="4" t="str">
        <f t="shared" si="41"/>
        <v>20220102</v>
      </c>
      <c r="C2287" s="5">
        <v>80.88</v>
      </c>
      <c r="D2287" s="5">
        <v>91.5</v>
      </c>
      <c r="E2287" s="5">
        <v>87.25</v>
      </c>
    </row>
    <row r="2288" spans="1:5">
      <c r="A2288" s="4" t="str">
        <f>"20228023510"</f>
        <v>20228023510</v>
      </c>
      <c r="B2288" s="4" t="str">
        <f t="shared" si="41"/>
        <v>20220102</v>
      </c>
      <c r="C2288" s="5">
        <v>0</v>
      </c>
      <c r="D2288" s="5">
        <v>0</v>
      </c>
      <c r="E2288" s="5">
        <v>0</v>
      </c>
    </row>
    <row r="2289" spans="1:5">
      <c r="A2289" s="4" t="str">
        <f>"20228023511"</f>
        <v>20228023511</v>
      </c>
      <c r="B2289" s="4" t="str">
        <f t="shared" si="41"/>
        <v>20220102</v>
      </c>
      <c r="C2289" s="5">
        <v>68.83</v>
      </c>
      <c r="D2289" s="5">
        <v>86.3</v>
      </c>
      <c r="E2289" s="5">
        <v>79.31</v>
      </c>
    </row>
    <row r="2290" spans="1:5">
      <c r="A2290" s="4" t="str">
        <f>"20228023512"</f>
        <v>20228023512</v>
      </c>
      <c r="B2290" s="4" t="str">
        <f t="shared" si="41"/>
        <v>20220102</v>
      </c>
      <c r="C2290" s="5">
        <v>0</v>
      </c>
      <c r="D2290" s="5">
        <v>0</v>
      </c>
      <c r="E2290" s="5">
        <v>0</v>
      </c>
    </row>
    <row r="2291" spans="1:5">
      <c r="A2291" s="4" t="str">
        <f>"20228023513"</f>
        <v>20228023513</v>
      </c>
      <c r="B2291" s="4" t="str">
        <f t="shared" si="41"/>
        <v>20220102</v>
      </c>
      <c r="C2291" s="5">
        <v>0</v>
      </c>
      <c r="D2291" s="5">
        <v>0</v>
      </c>
      <c r="E2291" s="5">
        <v>0</v>
      </c>
    </row>
    <row r="2292" spans="1:5">
      <c r="A2292" s="4" t="str">
        <f>"20228023514"</f>
        <v>20228023514</v>
      </c>
      <c r="B2292" s="4" t="str">
        <f t="shared" si="41"/>
        <v>20220102</v>
      </c>
      <c r="C2292" s="5">
        <v>0</v>
      </c>
      <c r="D2292" s="5">
        <v>0</v>
      </c>
      <c r="E2292" s="5">
        <v>0</v>
      </c>
    </row>
    <row r="2293" spans="1:5">
      <c r="A2293" s="4" t="str">
        <f>"20228023515"</f>
        <v>20228023515</v>
      </c>
      <c r="B2293" s="4" t="str">
        <f t="shared" ref="B2293:B2317" si="42">"20220102"</f>
        <v>20220102</v>
      </c>
      <c r="C2293" s="5">
        <v>0</v>
      </c>
      <c r="D2293" s="5">
        <v>0</v>
      </c>
      <c r="E2293" s="5">
        <v>0</v>
      </c>
    </row>
    <row r="2294" spans="1:5">
      <c r="A2294" s="4" t="str">
        <f>"20228023516"</f>
        <v>20228023516</v>
      </c>
      <c r="B2294" s="4" t="str">
        <f t="shared" si="42"/>
        <v>20220102</v>
      </c>
      <c r="C2294" s="5">
        <v>100.31</v>
      </c>
      <c r="D2294" s="5">
        <v>69.1</v>
      </c>
      <c r="E2294" s="5">
        <v>81.58</v>
      </c>
    </row>
    <row r="2295" spans="1:5">
      <c r="A2295" s="4" t="str">
        <f>"20228023517"</f>
        <v>20228023517</v>
      </c>
      <c r="B2295" s="4" t="str">
        <f t="shared" si="42"/>
        <v>20220102</v>
      </c>
      <c r="C2295" s="5">
        <v>0</v>
      </c>
      <c r="D2295" s="5">
        <v>0</v>
      </c>
      <c r="E2295" s="5">
        <v>0</v>
      </c>
    </row>
    <row r="2296" spans="1:5">
      <c r="A2296" s="4" t="str">
        <f>"20228023518"</f>
        <v>20228023518</v>
      </c>
      <c r="B2296" s="4" t="str">
        <f t="shared" si="42"/>
        <v>20220102</v>
      </c>
      <c r="C2296" s="5">
        <v>0</v>
      </c>
      <c r="D2296" s="5">
        <v>0</v>
      </c>
      <c r="E2296" s="5">
        <v>0</v>
      </c>
    </row>
    <row r="2297" spans="1:5">
      <c r="A2297" s="4" t="str">
        <f>"20228023519"</f>
        <v>20228023519</v>
      </c>
      <c r="B2297" s="4" t="str">
        <f t="shared" si="42"/>
        <v>20220102</v>
      </c>
      <c r="C2297" s="5">
        <v>85.82</v>
      </c>
      <c r="D2297" s="5">
        <v>64.6</v>
      </c>
      <c r="E2297" s="5">
        <v>73.09</v>
      </c>
    </row>
    <row r="2298" spans="1:5">
      <c r="A2298" s="4" t="str">
        <f>"20228023520"</f>
        <v>20228023520</v>
      </c>
      <c r="B2298" s="4" t="str">
        <f t="shared" si="42"/>
        <v>20220102</v>
      </c>
      <c r="C2298" s="5">
        <v>74.42</v>
      </c>
      <c r="D2298" s="5">
        <v>55.9</v>
      </c>
      <c r="E2298" s="5">
        <v>63.31</v>
      </c>
    </row>
    <row r="2299" spans="1:5">
      <c r="A2299" s="4" t="str">
        <f>"20228023521"</f>
        <v>20228023521</v>
      </c>
      <c r="B2299" s="4" t="str">
        <f t="shared" si="42"/>
        <v>20220102</v>
      </c>
      <c r="C2299" s="5">
        <v>80.36</v>
      </c>
      <c r="D2299" s="5">
        <v>64.3</v>
      </c>
      <c r="E2299" s="5">
        <v>70.72</v>
      </c>
    </row>
    <row r="2300" spans="1:5">
      <c r="A2300" s="4" t="str">
        <f>"20228023522"</f>
        <v>20228023522</v>
      </c>
      <c r="B2300" s="4" t="str">
        <f t="shared" si="42"/>
        <v>20220102</v>
      </c>
      <c r="C2300" s="5">
        <v>77.82</v>
      </c>
      <c r="D2300" s="5">
        <v>67.1</v>
      </c>
      <c r="E2300" s="5">
        <v>71.39</v>
      </c>
    </row>
    <row r="2301" spans="1:5">
      <c r="A2301" s="4" t="str">
        <f>"20228023523"</f>
        <v>20228023523</v>
      </c>
      <c r="B2301" s="4" t="str">
        <f t="shared" si="42"/>
        <v>20220102</v>
      </c>
      <c r="C2301" s="5">
        <v>0</v>
      </c>
      <c r="D2301" s="5">
        <v>0</v>
      </c>
      <c r="E2301" s="5">
        <v>0</v>
      </c>
    </row>
    <row r="2302" spans="1:5">
      <c r="A2302" s="4" t="str">
        <f>"20228023524"</f>
        <v>20228023524</v>
      </c>
      <c r="B2302" s="4" t="str">
        <f t="shared" si="42"/>
        <v>20220102</v>
      </c>
      <c r="C2302" s="5">
        <v>0</v>
      </c>
      <c r="D2302" s="5">
        <v>0</v>
      </c>
      <c r="E2302" s="5">
        <v>0</v>
      </c>
    </row>
    <row r="2303" spans="1:5">
      <c r="A2303" s="4" t="str">
        <f>"20228023525"</f>
        <v>20228023525</v>
      </c>
      <c r="B2303" s="4" t="str">
        <f t="shared" si="42"/>
        <v>20220102</v>
      </c>
      <c r="C2303" s="5">
        <v>79.81</v>
      </c>
      <c r="D2303" s="5">
        <v>80.8</v>
      </c>
      <c r="E2303" s="5">
        <v>80.4</v>
      </c>
    </row>
    <row r="2304" spans="1:5">
      <c r="A2304" s="4" t="str">
        <f>"20228023526"</f>
        <v>20228023526</v>
      </c>
      <c r="B2304" s="4" t="str">
        <f t="shared" si="42"/>
        <v>20220102</v>
      </c>
      <c r="C2304" s="5">
        <v>79.2</v>
      </c>
      <c r="D2304" s="5">
        <v>69</v>
      </c>
      <c r="E2304" s="5">
        <v>73.08</v>
      </c>
    </row>
    <row r="2305" spans="1:5">
      <c r="A2305" s="4" t="str">
        <f>"20228023527"</f>
        <v>20228023527</v>
      </c>
      <c r="B2305" s="4" t="str">
        <f t="shared" si="42"/>
        <v>20220102</v>
      </c>
      <c r="C2305" s="5">
        <v>79.04</v>
      </c>
      <c r="D2305" s="5">
        <v>96.2</v>
      </c>
      <c r="E2305" s="5">
        <v>89.34</v>
      </c>
    </row>
    <row r="2306" spans="1:5">
      <c r="A2306" s="4" t="str">
        <f>"20228023528"</f>
        <v>20228023528</v>
      </c>
      <c r="B2306" s="4" t="str">
        <f t="shared" si="42"/>
        <v>20220102</v>
      </c>
      <c r="C2306" s="5">
        <v>84.1</v>
      </c>
      <c r="D2306" s="5">
        <v>83.4</v>
      </c>
      <c r="E2306" s="5">
        <v>83.68</v>
      </c>
    </row>
    <row r="2307" spans="1:5">
      <c r="A2307" s="4" t="str">
        <f>"20228023529"</f>
        <v>20228023529</v>
      </c>
      <c r="B2307" s="4" t="str">
        <f t="shared" si="42"/>
        <v>20220102</v>
      </c>
      <c r="C2307" s="5">
        <v>0</v>
      </c>
      <c r="D2307" s="5">
        <v>0</v>
      </c>
      <c r="E2307" s="5">
        <v>0</v>
      </c>
    </row>
    <row r="2308" spans="1:5">
      <c r="A2308" s="4" t="str">
        <f>"20228023530"</f>
        <v>20228023530</v>
      </c>
      <c r="B2308" s="4" t="str">
        <f t="shared" si="42"/>
        <v>20220102</v>
      </c>
      <c r="C2308" s="5">
        <v>88.01</v>
      </c>
      <c r="D2308" s="5">
        <v>82.7</v>
      </c>
      <c r="E2308" s="5">
        <v>84.82</v>
      </c>
    </row>
    <row r="2309" spans="1:5">
      <c r="A2309" s="4" t="str">
        <f>"20228023601"</f>
        <v>20228023601</v>
      </c>
      <c r="B2309" s="4" t="str">
        <f t="shared" si="42"/>
        <v>20220102</v>
      </c>
      <c r="C2309" s="5">
        <v>87.76</v>
      </c>
      <c r="D2309" s="5">
        <v>94.1</v>
      </c>
      <c r="E2309" s="5">
        <v>91.56</v>
      </c>
    </row>
    <row r="2310" spans="1:5">
      <c r="A2310" s="4" t="str">
        <f>"20228023602"</f>
        <v>20228023602</v>
      </c>
      <c r="B2310" s="4" t="str">
        <f t="shared" si="42"/>
        <v>20220102</v>
      </c>
      <c r="C2310" s="5">
        <v>94.09</v>
      </c>
      <c r="D2310" s="5">
        <v>77</v>
      </c>
      <c r="E2310" s="5">
        <v>83.84</v>
      </c>
    </row>
    <row r="2311" spans="1:5">
      <c r="A2311" s="4" t="str">
        <f>"20228023603"</f>
        <v>20228023603</v>
      </c>
      <c r="B2311" s="4" t="str">
        <f t="shared" si="42"/>
        <v>20220102</v>
      </c>
      <c r="C2311" s="5">
        <v>64.98</v>
      </c>
      <c r="D2311" s="5">
        <v>76</v>
      </c>
      <c r="E2311" s="5">
        <v>71.59</v>
      </c>
    </row>
    <row r="2312" spans="1:5">
      <c r="A2312" s="4" t="str">
        <f>"20228023604"</f>
        <v>20228023604</v>
      </c>
      <c r="B2312" s="4" t="str">
        <f t="shared" si="42"/>
        <v>20220102</v>
      </c>
      <c r="C2312" s="5">
        <v>83.25</v>
      </c>
      <c r="D2312" s="5">
        <v>89.7</v>
      </c>
      <c r="E2312" s="5">
        <v>87.12</v>
      </c>
    </row>
    <row r="2313" spans="1:5">
      <c r="A2313" s="4" t="str">
        <f>"20228023605"</f>
        <v>20228023605</v>
      </c>
      <c r="B2313" s="4" t="str">
        <f t="shared" si="42"/>
        <v>20220102</v>
      </c>
      <c r="C2313" s="5">
        <v>0</v>
      </c>
      <c r="D2313" s="5">
        <v>0</v>
      </c>
      <c r="E2313" s="5">
        <v>0</v>
      </c>
    </row>
    <row r="2314" spans="1:5">
      <c r="A2314" s="4" t="str">
        <f>"20228023606"</f>
        <v>20228023606</v>
      </c>
      <c r="B2314" s="4" t="str">
        <f t="shared" si="42"/>
        <v>20220102</v>
      </c>
      <c r="C2314" s="5">
        <v>0</v>
      </c>
      <c r="D2314" s="5">
        <v>0</v>
      </c>
      <c r="E2314" s="5">
        <v>0</v>
      </c>
    </row>
    <row r="2315" spans="1:5">
      <c r="A2315" s="4" t="str">
        <f>"20228023607"</f>
        <v>20228023607</v>
      </c>
      <c r="B2315" s="4" t="str">
        <f t="shared" si="42"/>
        <v>20220102</v>
      </c>
      <c r="C2315" s="5">
        <v>69.88</v>
      </c>
      <c r="D2315" s="5">
        <v>73.2</v>
      </c>
      <c r="E2315" s="5">
        <v>71.87</v>
      </c>
    </row>
    <row r="2316" spans="1:5">
      <c r="A2316" s="4" t="str">
        <f>"20228023608"</f>
        <v>20228023608</v>
      </c>
      <c r="B2316" s="4" t="str">
        <f t="shared" si="42"/>
        <v>20220102</v>
      </c>
      <c r="C2316" s="5">
        <v>71.38</v>
      </c>
      <c r="D2316" s="5">
        <v>79.9</v>
      </c>
      <c r="E2316" s="5">
        <v>76.49</v>
      </c>
    </row>
    <row r="2317" spans="1:5">
      <c r="A2317" s="4" t="str">
        <f>"20228023609"</f>
        <v>20228023609</v>
      </c>
      <c r="B2317" s="4" t="str">
        <f t="shared" si="42"/>
        <v>20220102</v>
      </c>
      <c r="C2317" s="5">
        <v>0</v>
      </c>
      <c r="D2317" s="5">
        <v>0</v>
      </c>
      <c r="E2317" s="5">
        <v>0</v>
      </c>
    </row>
    <row r="2318" spans="1:5">
      <c r="A2318" s="4" t="str">
        <f>"20228023610"</f>
        <v>20228023610</v>
      </c>
      <c r="B2318" s="4" t="str">
        <f t="shared" ref="B2318:B2381" si="43">"20220202"</f>
        <v>20220202</v>
      </c>
      <c r="C2318" s="5">
        <v>0</v>
      </c>
      <c r="D2318" s="5">
        <v>0</v>
      </c>
      <c r="E2318" s="5">
        <v>0</v>
      </c>
    </row>
    <row r="2319" spans="1:5">
      <c r="A2319" s="4" t="str">
        <f>"20228023611"</f>
        <v>20228023611</v>
      </c>
      <c r="B2319" s="4" t="str">
        <f t="shared" si="43"/>
        <v>20220202</v>
      </c>
      <c r="C2319" s="5">
        <v>0</v>
      </c>
      <c r="D2319" s="5">
        <v>0</v>
      </c>
      <c r="E2319" s="5">
        <v>0</v>
      </c>
    </row>
    <row r="2320" spans="1:5">
      <c r="A2320" s="4" t="str">
        <f>"20228023612"</f>
        <v>20228023612</v>
      </c>
      <c r="B2320" s="4" t="str">
        <f t="shared" si="43"/>
        <v>20220202</v>
      </c>
      <c r="C2320" s="5">
        <v>0</v>
      </c>
      <c r="D2320" s="5">
        <v>0</v>
      </c>
      <c r="E2320" s="5">
        <v>0</v>
      </c>
    </row>
    <row r="2321" spans="1:5">
      <c r="A2321" s="4" t="str">
        <f>"20228023613"</f>
        <v>20228023613</v>
      </c>
      <c r="B2321" s="4" t="str">
        <f t="shared" si="43"/>
        <v>20220202</v>
      </c>
      <c r="C2321" s="5">
        <v>0</v>
      </c>
      <c r="D2321" s="5">
        <v>0</v>
      </c>
      <c r="E2321" s="5">
        <v>0</v>
      </c>
    </row>
    <row r="2322" spans="1:5">
      <c r="A2322" s="4" t="str">
        <f>"20228023614"</f>
        <v>20228023614</v>
      </c>
      <c r="B2322" s="4" t="str">
        <f t="shared" si="43"/>
        <v>20220202</v>
      </c>
      <c r="C2322" s="5">
        <v>75.5</v>
      </c>
      <c r="D2322" s="5">
        <v>100.6</v>
      </c>
      <c r="E2322" s="5">
        <v>90.56</v>
      </c>
    </row>
    <row r="2323" spans="1:5">
      <c r="A2323" s="4" t="str">
        <f>"20228023615"</f>
        <v>20228023615</v>
      </c>
      <c r="B2323" s="4" t="str">
        <f t="shared" si="43"/>
        <v>20220202</v>
      </c>
      <c r="C2323" s="5">
        <v>0</v>
      </c>
      <c r="D2323" s="5">
        <v>0</v>
      </c>
      <c r="E2323" s="5">
        <v>0</v>
      </c>
    </row>
    <row r="2324" spans="1:5">
      <c r="A2324" s="4" t="str">
        <f>"20228023616"</f>
        <v>20228023616</v>
      </c>
      <c r="B2324" s="4" t="str">
        <f t="shared" si="43"/>
        <v>20220202</v>
      </c>
      <c r="C2324" s="5">
        <v>0</v>
      </c>
      <c r="D2324" s="5">
        <v>0</v>
      </c>
      <c r="E2324" s="5">
        <v>0</v>
      </c>
    </row>
    <row r="2325" spans="1:5">
      <c r="A2325" s="4" t="str">
        <f>"20228023617"</f>
        <v>20228023617</v>
      </c>
      <c r="B2325" s="4" t="str">
        <f t="shared" si="43"/>
        <v>20220202</v>
      </c>
      <c r="C2325" s="5">
        <v>0</v>
      </c>
      <c r="D2325" s="5">
        <v>0</v>
      </c>
      <c r="E2325" s="5">
        <v>0</v>
      </c>
    </row>
    <row r="2326" spans="1:5">
      <c r="A2326" s="4" t="str">
        <f>"20228023618"</f>
        <v>20228023618</v>
      </c>
      <c r="B2326" s="4" t="str">
        <f t="shared" si="43"/>
        <v>20220202</v>
      </c>
      <c r="C2326" s="5">
        <v>87.51</v>
      </c>
      <c r="D2326" s="5">
        <v>82.9</v>
      </c>
      <c r="E2326" s="5">
        <v>84.74</v>
      </c>
    </row>
    <row r="2327" spans="1:5">
      <c r="A2327" s="4" t="str">
        <f>"20228023619"</f>
        <v>20228023619</v>
      </c>
      <c r="B2327" s="4" t="str">
        <f t="shared" si="43"/>
        <v>20220202</v>
      </c>
      <c r="C2327" s="5">
        <v>90.3</v>
      </c>
      <c r="D2327" s="5">
        <v>92</v>
      </c>
      <c r="E2327" s="5">
        <v>91.32</v>
      </c>
    </row>
    <row r="2328" spans="1:5">
      <c r="A2328" s="4" t="str">
        <f>"20228023620"</f>
        <v>20228023620</v>
      </c>
      <c r="B2328" s="4" t="str">
        <f t="shared" si="43"/>
        <v>20220202</v>
      </c>
      <c r="C2328" s="5">
        <v>0</v>
      </c>
      <c r="D2328" s="5">
        <v>0</v>
      </c>
      <c r="E2328" s="5">
        <v>0</v>
      </c>
    </row>
    <row r="2329" spans="1:5">
      <c r="A2329" s="4" t="str">
        <f>"20228023621"</f>
        <v>20228023621</v>
      </c>
      <c r="B2329" s="4" t="str">
        <f t="shared" si="43"/>
        <v>20220202</v>
      </c>
      <c r="C2329" s="5">
        <v>84.57</v>
      </c>
      <c r="D2329" s="5">
        <v>80.3</v>
      </c>
      <c r="E2329" s="5">
        <v>82.01</v>
      </c>
    </row>
    <row r="2330" spans="1:5">
      <c r="A2330" s="4" t="str">
        <f>"20228023622"</f>
        <v>20228023622</v>
      </c>
      <c r="B2330" s="4" t="str">
        <f t="shared" si="43"/>
        <v>20220202</v>
      </c>
      <c r="C2330" s="5">
        <v>0</v>
      </c>
      <c r="D2330" s="5">
        <v>0</v>
      </c>
      <c r="E2330" s="5">
        <v>0</v>
      </c>
    </row>
    <row r="2331" spans="1:5">
      <c r="A2331" s="4" t="str">
        <f>"20228023623"</f>
        <v>20228023623</v>
      </c>
      <c r="B2331" s="4" t="str">
        <f t="shared" si="43"/>
        <v>20220202</v>
      </c>
      <c r="C2331" s="5">
        <v>80.88</v>
      </c>
      <c r="D2331" s="5">
        <v>76.4</v>
      </c>
      <c r="E2331" s="5">
        <v>78.19</v>
      </c>
    </row>
    <row r="2332" spans="1:5">
      <c r="A2332" s="4" t="str">
        <f>"20228023624"</f>
        <v>20228023624</v>
      </c>
      <c r="B2332" s="4" t="str">
        <f t="shared" si="43"/>
        <v>20220202</v>
      </c>
      <c r="C2332" s="5">
        <v>0</v>
      </c>
      <c r="D2332" s="5">
        <v>0</v>
      </c>
      <c r="E2332" s="5">
        <v>0</v>
      </c>
    </row>
    <row r="2333" spans="1:5">
      <c r="A2333" s="4" t="str">
        <f>"20228023625"</f>
        <v>20228023625</v>
      </c>
      <c r="B2333" s="4" t="str">
        <f t="shared" si="43"/>
        <v>20220202</v>
      </c>
      <c r="C2333" s="5">
        <v>79.18</v>
      </c>
      <c r="D2333" s="5">
        <v>73.7</v>
      </c>
      <c r="E2333" s="5">
        <v>75.89</v>
      </c>
    </row>
    <row r="2334" spans="1:5">
      <c r="A2334" s="4" t="str">
        <f>"20228023626"</f>
        <v>20228023626</v>
      </c>
      <c r="B2334" s="4" t="str">
        <f t="shared" si="43"/>
        <v>20220202</v>
      </c>
      <c r="C2334" s="5">
        <v>0</v>
      </c>
      <c r="D2334" s="5">
        <v>0</v>
      </c>
      <c r="E2334" s="5">
        <v>0</v>
      </c>
    </row>
    <row r="2335" spans="1:5">
      <c r="A2335" s="4" t="str">
        <f>"20228023627"</f>
        <v>20228023627</v>
      </c>
      <c r="B2335" s="4" t="str">
        <f t="shared" si="43"/>
        <v>20220202</v>
      </c>
      <c r="C2335" s="5">
        <v>0</v>
      </c>
      <c r="D2335" s="5">
        <v>0</v>
      </c>
      <c r="E2335" s="5">
        <v>0</v>
      </c>
    </row>
    <row r="2336" spans="1:5">
      <c r="A2336" s="4" t="str">
        <f>"20228023628"</f>
        <v>20228023628</v>
      </c>
      <c r="B2336" s="4" t="str">
        <f t="shared" si="43"/>
        <v>20220202</v>
      </c>
      <c r="C2336" s="5">
        <v>74.26</v>
      </c>
      <c r="D2336" s="5">
        <v>66.8</v>
      </c>
      <c r="E2336" s="5">
        <v>69.78</v>
      </c>
    </row>
    <row r="2337" spans="1:5">
      <c r="A2337" s="4" t="str">
        <f>"20228023629"</f>
        <v>20228023629</v>
      </c>
      <c r="B2337" s="4" t="str">
        <f t="shared" si="43"/>
        <v>20220202</v>
      </c>
      <c r="C2337" s="5">
        <v>0</v>
      </c>
      <c r="D2337" s="5">
        <v>0</v>
      </c>
      <c r="E2337" s="5">
        <v>0</v>
      </c>
    </row>
    <row r="2338" spans="1:5">
      <c r="A2338" s="4" t="str">
        <f>"20228023630"</f>
        <v>20228023630</v>
      </c>
      <c r="B2338" s="4" t="str">
        <f t="shared" si="43"/>
        <v>20220202</v>
      </c>
      <c r="C2338" s="5">
        <v>82.42</v>
      </c>
      <c r="D2338" s="5">
        <v>78.8</v>
      </c>
      <c r="E2338" s="5">
        <v>80.25</v>
      </c>
    </row>
    <row r="2339" spans="1:5">
      <c r="A2339" s="4" t="str">
        <f>"20228023701"</f>
        <v>20228023701</v>
      </c>
      <c r="B2339" s="4" t="str">
        <f t="shared" si="43"/>
        <v>20220202</v>
      </c>
      <c r="C2339" s="5">
        <v>81.36</v>
      </c>
      <c r="D2339" s="5">
        <v>73.9</v>
      </c>
      <c r="E2339" s="5">
        <v>76.88</v>
      </c>
    </row>
    <row r="2340" spans="1:5">
      <c r="A2340" s="4" t="str">
        <f>"20228023702"</f>
        <v>20228023702</v>
      </c>
      <c r="B2340" s="4" t="str">
        <f t="shared" si="43"/>
        <v>20220202</v>
      </c>
      <c r="C2340" s="5">
        <v>0</v>
      </c>
      <c r="D2340" s="5">
        <v>0</v>
      </c>
      <c r="E2340" s="5">
        <v>0</v>
      </c>
    </row>
    <row r="2341" spans="1:5">
      <c r="A2341" s="4" t="str">
        <f>"20228023703"</f>
        <v>20228023703</v>
      </c>
      <c r="B2341" s="4" t="str">
        <f t="shared" si="43"/>
        <v>20220202</v>
      </c>
      <c r="C2341" s="5">
        <v>76.47</v>
      </c>
      <c r="D2341" s="5">
        <v>80.2</v>
      </c>
      <c r="E2341" s="5">
        <v>78.71</v>
      </c>
    </row>
    <row r="2342" spans="1:5">
      <c r="A2342" s="4" t="str">
        <f>"20228023704"</f>
        <v>20228023704</v>
      </c>
      <c r="B2342" s="4" t="str">
        <f t="shared" si="43"/>
        <v>20220202</v>
      </c>
      <c r="C2342" s="5">
        <v>0</v>
      </c>
      <c r="D2342" s="5">
        <v>0</v>
      </c>
      <c r="E2342" s="5">
        <v>0</v>
      </c>
    </row>
    <row r="2343" spans="1:5">
      <c r="A2343" s="4" t="str">
        <f>"20228023705"</f>
        <v>20228023705</v>
      </c>
      <c r="B2343" s="4" t="str">
        <f t="shared" si="43"/>
        <v>20220202</v>
      </c>
      <c r="C2343" s="5">
        <v>72.66</v>
      </c>
      <c r="D2343" s="5">
        <v>94.4</v>
      </c>
      <c r="E2343" s="5">
        <v>85.7</v>
      </c>
    </row>
    <row r="2344" spans="1:5">
      <c r="A2344" s="4" t="str">
        <f>"20228023706"</f>
        <v>20228023706</v>
      </c>
      <c r="B2344" s="4" t="str">
        <f t="shared" si="43"/>
        <v>20220202</v>
      </c>
      <c r="C2344" s="5">
        <v>0</v>
      </c>
      <c r="D2344" s="5">
        <v>0</v>
      </c>
      <c r="E2344" s="5">
        <v>0</v>
      </c>
    </row>
    <row r="2345" spans="1:5">
      <c r="A2345" s="4" t="str">
        <f>"20228023707"</f>
        <v>20228023707</v>
      </c>
      <c r="B2345" s="4" t="str">
        <f t="shared" si="43"/>
        <v>20220202</v>
      </c>
      <c r="C2345" s="5">
        <v>97.55</v>
      </c>
      <c r="D2345" s="5">
        <v>73.6</v>
      </c>
      <c r="E2345" s="5">
        <v>83.18</v>
      </c>
    </row>
    <row r="2346" spans="1:5">
      <c r="A2346" s="4" t="str">
        <f>"20228023708"</f>
        <v>20228023708</v>
      </c>
      <c r="B2346" s="4" t="str">
        <f t="shared" si="43"/>
        <v>20220202</v>
      </c>
      <c r="C2346" s="5">
        <v>75.84</v>
      </c>
      <c r="D2346" s="5">
        <v>85.6</v>
      </c>
      <c r="E2346" s="5">
        <v>81.7</v>
      </c>
    </row>
    <row r="2347" spans="1:5">
      <c r="A2347" s="4" t="str">
        <f>"20228023709"</f>
        <v>20228023709</v>
      </c>
      <c r="B2347" s="4" t="str">
        <f t="shared" si="43"/>
        <v>20220202</v>
      </c>
      <c r="C2347" s="5">
        <v>0</v>
      </c>
      <c r="D2347" s="5">
        <v>0</v>
      </c>
      <c r="E2347" s="5">
        <v>0</v>
      </c>
    </row>
    <row r="2348" spans="1:5">
      <c r="A2348" s="4" t="str">
        <f>"20228023710"</f>
        <v>20228023710</v>
      </c>
      <c r="B2348" s="4" t="str">
        <f t="shared" si="43"/>
        <v>20220202</v>
      </c>
      <c r="C2348" s="5">
        <v>77.72</v>
      </c>
      <c r="D2348" s="5">
        <v>73.8</v>
      </c>
      <c r="E2348" s="5">
        <v>75.37</v>
      </c>
    </row>
    <row r="2349" spans="1:5">
      <c r="A2349" s="4" t="str">
        <f>"20228023711"</f>
        <v>20228023711</v>
      </c>
      <c r="B2349" s="4" t="str">
        <f t="shared" si="43"/>
        <v>20220202</v>
      </c>
      <c r="C2349" s="5">
        <v>0</v>
      </c>
      <c r="D2349" s="5">
        <v>0</v>
      </c>
      <c r="E2349" s="5">
        <v>0</v>
      </c>
    </row>
    <row r="2350" spans="1:5">
      <c r="A2350" s="4" t="str">
        <f>"20228023712"</f>
        <v>20228023712</v>
      </c>
      <c r="B2350" s="4" t="str">
        <f t="shared" si="43"/>
        <v>20220202</v>
      </c>
      <c r="C2350" s="5">
        <v>77.77</v>
      </c>
      <c r="D2350" s="5">
        <v>59.3</v>
      </c>
      <c r="E2350" s="5">
        <v>66.69</v>
      </c>
    </row>
    <row r="2351" spans="1:5">
      <c r="A2351" s="4" t="str">
        <f>"20228023713"</f>
        <v>20228023713</v>
      </c>
      <c r="B2351" s="4" t="str">
        <f t="shared" si="43"/>
        <v>20220202</v>
      </c>
      <c r="C2351" s="5">
        <v>73.57</v>
      </c>
      <c r="D2351" s="5">
        <v>76.7</v>
      </c>
      <c r="E2351" s="5">
        <v>75.45</v>
      </c>
    </row>
    <row r="2352" spans="1:5">
      <c r="A2352" s="4" t="str">
        <f>"20228023714"</f>
        <v>20228023714</v>
      </c>
      <c r="B2352" s="4" t="str">
        <f t="shared" si="43"/>
        <v>20220202</v>
      </c>
      <c r="C2352" s="5">
        <v>0</v>
      </c>
      <c r="D2352" s="5">
        <v>0</v>
      </c>
      <c r="E2352" s="5">
        <v>0</v>
      </c>
    </row>
    <row r="2353" spans="1:5">
      <c r="A2353" s="4" t="str">
        <f>"20228023715"</f>
        <v>20228023715</v>
      </c>
      <c r="B2353" s="4" t="str">
        <f t="shared" si="43"/>
        <v>20220202</v>
      </c>
      <c r="C2353" s="5">
        <v>0</v>
      </c>
      <c r="D2353" s="5">
        <v>0</v>
      </c>
      <c r="E2353" s="5">
        <v>0</v>
      </c>
    </row>
    <row r="2354" spans="1:5">
      <c r="A2354" s="4" t="str">
        <f>"20228023716"</f>
        <v>20228023716</v>
      </c>
      <c r="B2354" s="4" t="str">
        <f t="shared" si="43"/>
        <v>20220202</v>
      </c>
      <c r="C2354" s="5">
        <v>66.1</v>
      </c>
      <c r="D2354" s="5">
        <v>40.1</v>
      </c>
      <c r="E2354" s="5">
        <v>50.5</v>
      </c>
    </row>
    <row r="2355" spans="1:5">
      <c r="A2355" s="4" t="str">
        <f>"20228023717"</f>
        <v>20228023717</v>
      </c>
      <c r="B2355" s="4" t="str">
        <f t="shared" si="43"/>
        <v>20220202</v>
      </c>
      <c r="C2355" s="5">
        <v>81.71</v>
      </c>
      <c r="D2355" s="5">
        <v>53.4</v>
      </c>
      <c r="E2355" s="5">
        <v>64.72</v>
      </c>
    </row>
    <row r="2356" spans="1:5">
      <c r="A2356" s="4" t="str">
        <f>"20228023718"</f>
        <v>20228023718</v>
      </c>
      <c r="B2356" s="4" t="str">
        <f t="shared" si="43"/>
        <v>20220202</v>
      </c>
      <c r="C2356" s="5">
        <v>0</v>
      </c>
      <c r="D2356" s="5">
        <v>0</v>
      </c>
      <c r="E2356" s="5">
        <v>0</v>
      </c>
    </row>
    <row r="2357" spans="1:5">
      <c r="A2357" s="4" t="str">
        <f>"20228023719"</f>
        <v>20228023719</v>
      </c>
      <c r="B2357" s="4" t="str">
        <f t="shared" si="43"/>
        <v>20220202</v>
      </c>
      <c r="C2357" s="5">
        <v>0</v>
      </c>
      <c r="D2357" s="5">
        <v>0</v>
      </c>
      <c r="E2357" s="5">
        <v>0</v>
      </c>
    </row>
    <row r="2358" spans="1:5">
      <c r="A2358" s="4" t="str">
        <f>"20228023720"</f>
        <v>20228023720</v>
      </c>
      <c r="B2358" s="4" t="str">
        <f t="shared" si="43"/>
        <v>20220202</v>
      </c>
      <c r="C2358" s="5">
        <v>73.71</v>
      </c>
      <c r="D2358" s="5">
        <v>61.6</v>
      </c>
      <c r="E2358" s="5">
        <v>66.44</v>
      </c>
    </row>
    <row r="2359" spans="1:5">
      <c r="A2359" s="4" t="str">
        <f>"20228023721"</f>
        <v>20228023721</v>
      </c>
      <c r="B2359" s="4" t="str">
        <f t="shared" si="43"/>
        <v>20220202</v>
      </c>
      <c r="C2359" s="5">
        <v>0</v>
      </c>
      <c r="D2359" s="5">
        <v>0</v>
      </c>
      <c r="E2359" s="5">
        <v>0</v>
      </c>
    </row>
    <row r="2360" spans="1:5">
      <c r="A2360" s="4" t="str">
        <f>"20228023722"</f>
        <v>20228023722</v>
      </c>
      <c r="B2360" s="4" t="str">
        <f t="shared" si="43"/>
        <v>20220202</v>
      </c>
      <c r="C2360" s="5">
        <v>0</v>
      </c>
      <c r="D2360" s="5">
        <v>0</v>
      </c>
      <c r="E2360" s="5">
        <v>0</v>
      </c>
    </row>
    <row r="2361" spans="1:5">
      <c r="A2361" s="4" t="str">
        <f>"20228023723"</f>
        <v>20228023723</v>
      </c>
      <c r="B2361" s="4" t="str">
        <f t="shared" si="43"/>
        <v>20220202</v>
      </c>
      <c r="C2361" s="5">
        <v>92.64</v>
      </c>
      <c r="D2361" s="5">
        <v>57</v>
      </c>
      <c r="E2361" s="5">
        <v>71.26</v>
      </c>
    </row>
    <row r="2362" spans="1:5">
      <c r="A2362" s="4" t="str">
        <f>"20228023724"</f>
        <v>20228023724</v>
      </c>
      <c r="B2362" s="4" t="str">
        <f t="shared" si="43"/>
        <v>20220202</v>
      </c>
      <c r="C2362" s="5">
        <v>76.93</v>
      </c>
      <c r="D2362" s="5">
        <v>81.6</v>
      </c>
      <c r="E2362" s="5">
        <v>79.73</v>
      </c>
    </row>
    <row r="2363" spans="1:5">
      <c r="A2363" s="4" t="str">
        <f>"20228023725"</f>
        <v>20228023725</v>
      </c>
      <c r="B2363" s="4" t="str">
        <f t="shared" si="43"/>
        <v>20220202</v>
      </c>
      <c r="C2363" s="5">
        <v>0</v>
      </c>
      <c r="D2363" s="5">
        <v>0</v>
      </c>
      <c r="E2363" s="5">
        <v>0</v>
      </c>
    </row>
    <row r="2364" spans="1:5">
      <c r="A2364" s="4" t="str">
        <f>"20228023726"</f>
        <v>20228023726</v>
      </c>
      <c r="B2364" s="4" t="str">
        <f t="shared" si="43"/>
        <v>20220202</v>
      </c>
      <c r="C2364" s="5">
        <v>0</v>
      </c>
      <c r="D2364" s="5">
        <v>0</v>
      </c>
      <c r="E2364" s="5">
        <v>0</v>
      </c>
    </row>
    <row r="2365" spans="1:5">
      <c r="A2365" s="4" t="str">
        <f>"20228023727"</f>
        <v>20228023727</v>
      </c>
      <c r="B2365" s="4" t="str">
        <f t="shared" si="43"/>
        <v>20220202</v>
      </c>
      <c r="C2365" s="5">
        <v>0</v>
      </c>
      <c r="D2365" s="5">
        <v>0</v>
      </c>
      <c r="E2365" s="5">
        <v>0</v>
      </c>
    </row>
    <row r="2366" spans="1:5">
      <c r="A2366" s="4" t="str">
        <f>"20228023728"</f>
        <v>20228023728</v>
      </c>
      <c r="B2366" s="4" t="str">
        <f t="shared" si="43"/>
        <v>20220202</v>
      </c>
      <c r="C2366" s="5">
        <v>0</v>
      </c>
      <c r="D2366" s="5">
        <v>0</v>
      </c>
      <c r="E2366" s="5">
        <v>0</v>
      </c>
    </row>
    <row r="2367" spans="1:5">
      <c r="A2367" s="4" t="str">
        <f>"20228023729"</f>
        <v>20228023729</v>
      </c>
      <c r="B2367" s="4" t="str">
        <f t="shared" si="43"/>
        <v>20220202</v>
      </c>
      <c r="C2367" s="5">
        <v>0</v>
      </c>
      <c r="D2367" s="5">
        <v>0</v>
      </c>
      <c r="E2367" s="5">
        <v>0</v>
      </c>
    </row>
    <row r="2368" spans="1:5">
      <c r="A2368" s="4" t="str">
        <f>"20228023730"</f>
        <v>20228023730</v>
      </c>
      <c r="B2368" s="4" t="str">
        <f t="shared" si="43"/>
        <v>20220202</v>
      </c>
      <c r="C2368" s="5">
        <v>0</v>
      </c>
      <c r="D2368" s="5">
        <v>0</v>
      </c>
      <c r="E2368" s="5">
        <v>0</v>
      </c>
    </row>
    <row r="2369" spans="1:5">
      <c r="A2369" s="4" t="str">
        <f>"20228023801"</f>
        <v>20228023801</v>
      </c>
      <c r="B2369" s="4" t="str">
        <f t="shared" si="43"/>
        <v>20220202</v>
      </c>
      <c r="C2369" s="5">
        <v>0</v>
      </c>
      <c r="D2369" s="5">
        <v>0</v>
      </c>
      <c r="E2369" s="5">
        <v>0</v>
      </c>
    </row>
    <row r="2370" spans="1:5">
      <c r="A2370" s="4" t="str">
        <f>"20228023802"</f>
        <v>20228023802</v>
      </c>
      <c r="B2370" s="4" t="str">
        <f t="shared" si="43"/>
        <v>20220202</v>
      </c>
      <c r="C2370" s="5">
        <v>92.44</v>
      </c>
      <c r="D2370" s="5">
        <v>94.7</v>
      </c>
      <c r="E2370" s="5">
        <v>93.8</v>
      </c>
    </row>
    <row r="2371" spans="1:5">
      <c r="A2371" s="4" t="str">
        <f>"20228023803"</f>
        <v>20228023803</v>
      </c>
      <c r="B2371" s="4" t="str">
        <f t="shared" si="43"/>
        <v>20220202</v>
      </c>
      <c r="C2371" s="5">
        <v>84.87</v>
      </c>
      <c r="D2371" s="5">
        <v>86.4</v>
      </c>
      <c r="E2371" s="5">
        <v>85.79</v>
      </c>
    </row>
    <row r="2372" spans="1:5">
      <c r="A2372" s="4" t="str">
        <f>"20228023804"</f>
        <v>20228023804</v>
      </c>
      <c r="B2372" s="4" t="str">
        <f t="shared" si="43"/>
        <v>20220202</v>
      </c>
      <c r="C2372" s="5">
        <v>0</v>
      </c>
      <c r="D2372" s="5">
        <v>0</v>
      </c>
      <c r="E2372" s="5">
        <v>0</v>
      </c>
    </row>
    <row r="2373" spans="1:5">
      <c r="A2373" s="4" t="str">
        <f>"20228023805"</f>
        <v>20228023805</v>
      </c>
      <c r="B2373" s="4" t="str">
        <f t="shared" si="43"/>
        <v>20220202</v>
      </c>
      <c r="C2373" s="5">
        <v>0</v>
      </c>
      <c r="D2373" s="5">
        <v>0</v>
      </c>
      <c r="E2373" s="5">
        <v>0</v>
      </c>
    </row>
    <row r="2374" spans="1:5">
      <c r="A2374" s="4" t="str">
        <f>"20228023806"</f>
        <v>20228023806</v>
      </c>
      <c r="B2374" s="4" t="str">
        <f t="shared" si="43"/>
        <v>20220202</v>
      </c>
      <c r="C2374" s="5">
        <v>73.04</v>
      </c>
      <c r="D2374" s="5">
        <v>71.2</v>
      </c>
      <c r="E2374" s="5">
        <v>71.94</v>
      </c>
    </row>
    <row r="2375" spans="1:5">
      <c r="A2375" s="4" t="str">
        <f>"20228023807"</f>
        <v>20228023807</v>
      </c>
      <c r="B2375" s="4" t="str">
        <f t="shared" si="43"/>
        <v>20220202</v>
      </c>
      <c r="C2375" s="5">
        <v>72.63</v>
      </c>
      <c r="D2375" s="5">
        <v>95</v>
      </c>
      <c r="E2375" s="5">
        <v>86.05</v>
      </c>
    </row>
    <row r="2376" spans="1:5">
      <c r="A2376" s="4" t="str">
        <f>"20228023808"</f>
        <v>20228023808</v>
      </c>
      <c r="B2376" s="4" t="str">
        <f t="shared" si="43"/>
        <v>20220202</v>
      </c>
      <c r="C2376" s="5">
        <v>85.55</v>
      </c>
      <c r="D2376" s="5">
        <v>80</v>
      </c>
      <c r="E2376" s="5">
        <v>82.22</v>
      </c>
    </row>
    <row r="2377" spans="1:5">
      <c r="A2377" s="4" t="str">
        <f>"20228023809"</f>
        <v>20228023809</v>
      </c>
      <c r="B2377" s="4" t="str">
        <f t="shared" si="43"/>
        <v>20220202</v>
      </c>
      <c r="C2377" s="5">
        <v>0</v>
      </c>
      <c r="D2377" s="5">
        <v>0</v>
      </c>
      <c r="E2377" s="5">
        <v>0</v>
      </c>
    </row>
    <row r="2378" spans="1:5">
      <c r="A2378" s="4" t="str">
        <f>"20228023810"</f>
        <v>20228023810</v>
      </c>
      <c r="B2378" s="4" t="str">
        <f t="shared" si="43"/>
        <v>20220202</v>
      </c>
      <c r="C2378" s="5">
        <v>0</v>
      </c>
      <c r="D2378" s="5">
        <v>0</v>
      </c>
      <c r="E2378" s="5">
        <v>0</v>
      </c>
    </row>
    <row r="2379" spans="1:5">
      <c r="A2379" s="4" t="str">
        <f>"20228023811"</f>
        <v>20228023811</v>
      </c>
      <c r="B2379" s="4" t="str">
        <f t="shared" si="43"/>
        <v>20220202</v>
      </c>
      <c r="C2379" s="5">
        <v>0</v>
      </c>
      <c r="D2379" s="5">
        <v>0</v>
      </c>
      <c r="E2379" s="5">
        <v>0</v>
      </c>
    </row>
    <row r="2380" spans="1:5">
      <c r="A2380" s="4" t="str">
        <f>"20228023812"</f>
        <v>20228023812</v>
      </c>
      <c r="B2380" s="4" t="str">
        <f t="shared" si="43"/>
        <v>20220202</v>
      </c>
      <c r="C2380" s="5">
        <v>0</v>
      </c>
      <c r="D2380" s="5">
        <v>0</v>
      </c>
      <c r="E2380" s="5">
        <v>0</v>
      </c>
    </row>
    <row r="2381" spans="1:5">
      <c r="A2381" s="4" t="str">
        <f>"20228023813"</f>
        <v>20228023813</v>
      </c>
      <c r="B2381" s="4" t="str">
        <f t="shared" si="43"/>
        <v>20220202</v>
      </c>
      <c r="C2381" s="5">
        <v>75.97</v>
      </c>
      <c r="D2381" s="5">
        <v>78</v>
      </c>
      <c r="E2381" s="5">
        <v>77.19</v>
      </c>
    </row>
    <row r="2382" spans="1:5">
      <c r="A2382" s="4" t="str">
        <f>"20228023814"</f>
        <v>20228023814</v>
      </c>
      <c r="B2382" s="4" t="str">
        <f t="shared" ref="B2382:B2444" si="44">"20220202"</f>
        <v>20220202</v>
      </c>
      <c r="C2382" s="5">
        <v>95.43</v>
      </c>
      <c r="D2382" s="5">
        <v>79.8</v>
      </c>
      <c r="E2382" s="5">
        <v>86.05</v>
      </c>
    </row>
    <row r="2383" spans="1:5">
      <c r="A2383" s="4" t="str">
        <f>"20228023815"</f>
        <v>20228023815</v>
      </c>
      <c r="B2383" s="4" t="str">
        <f t="shared" si="44"/>
        <v>20220202</v>
      </c>
      <c r="C2383" s="5">
        <v>0</v>
      </c>
      <c r="D2383" s="5">
        <v>0</v>
      </c>
      <c r="E2383" s="5">
        <v>0</v>
      </c>
    </row>
    <row r="2384" spans="1:5">
      <c r="A2384" s="4" t="str">
        <f>"20228023816"</f>
        <v>20228023816</v>
      </c>
      <c r="B2384" s="4" t="str">
        <f t="shared" si="44"/>
        <v>20220202</v>
      </c>
      <c r="C2384" s="5">
        <v>0</v>
      </c>
      <c r="D2384" s="5">
        <v>0</v>
      </c>
      <c r="E2384" s="5">
        <v>0</v>
      </c>
    </row>
    <row r="2385" spans="1:5">
      <c r="A2385" s="4" t="str">
        <f>"20228023817"</f>
        <v>20228023817</v>
      </c>
      <c r="B2385" s="4" t="str">
        <f t="shared" si="44"/>
        <v>20220202</v>
      </c>
      <c r="C2385" s="5">
        <v>0</v>
      </c>
      <c r="D2385" s="5">
        <v>0</v>
      </c>
      <c r="E2385" s="5">
        <v>0</v>
      </c>
    </row>
    <row r="2386" spans="1:5">
      <c r="A2386" s="4" t="str">
        <f>"20228023818"</f>
        <v>20228023818</v>
      </c>
      <c r="B2386" s="4" t="str">
        <f t="shared" si="44"/>
        <v>20220202</v>
      </c>
      <c r="C2386" s="5">
        <v>64.49</v>
      </c>
      <c r="D2386" s="5">
        <v>74.8</v>
      </c>
      <c r="E2386" s="5">
        <v>70.68</v>
      </c>
    </row>
    <row r="2387" spans="1:5">
      <c r="A2387" s="4" t="str">
        <f>"20228023819"</f>
        <v>20228023819</v>
      </c>
      <c r="B2387" s="4" t="str">
        <f t="shared" si="44"/>
        <v>20220202</v>
      </c>
      <c r="C2387" s="5">
        <v>0</v>
      </c>
      <c r="D2387" s="5">
        <v>0</v>
      </c>
      <c r="E2387" s="5">
        <v>0</v>
      </c>
    </row>
    <row r="2388" spans="1:5">
      <c r="A2388" s="4" t="str">
        <f>"20228023820"</f>
        <v>20228023820</v>
      </c>
      <c r="B2388" s="4" t="str">
        <f t="shared" si="44"/>
        <v>20220202</v>
      </c>
      <c r="C2388" s="5">
        <v>0</v>
      </c>
      <c r="D2388" s="5">
        <v>0</v>
      </c>
      <c r="E2388" s="5">
        <v>0</v>
      </c>
    </row>
    <row r="2389" spans="1:5">
      <c r="A2389" s="4" t="str">
        <f>"20228023821"</f>
        <v>20228023821</v>
      </c>
      <c r="B2389" s="4" t="str">
        <f t="shared" si="44"/>
        <v>20220202</v>
      </c>
      <c r="C2389" s="5">
        <v>77.15</v>
      </c>
      <c r="D2389" s="5">
        <v>79</v>
      </c>
      <c r="E2389" s="5">
        <v>78.26</v>
      </c>
    </row>
    <row r="2390" spans="1:5">
      <c r="A2390" s="4" t="str">
        <f>"20228023822"</f>
        <v>20228023822</v>
      </c>
      <c r="B2390" s="4" t="str">
        <f t="shared" si="44"/>
        <v>20220202</v>
      </c>
      <c r="C2390" s="5">
        <v>95.33</v>
      </c>
      <c r="D2390" s="5">
        <v>83.2</v>
      </c>
      <c r="E2390" s="5">
        <v>88.05</v>
      </c>
    </row>
    <row r="2391" spans="1:5">
      <c r="A2391" s="4" t="str">
        <f>"20228023823"</f>
        <v>20228023823</v>
      </c>
      <c r="B2391" s="4" t="str">
        <f t="shared" si="44"/>
        <v>20220202</v>
      </c>
      <c r="C2391" s="5">
        <v>0</v>
      </c>
      <c r="D2391" s="5">
        <v>0</v>
      </c>
      <c r="E2391" s="5">
        <v>0</v>
      </c>
    </row>
    <row r="2392" spans="1:5">
      <c r="A2392" s="4" t="str">
        <f>"20228023824"</f>
        <v>20228023824</v>
      </c>
      <c r="B2392" s="4" t="str">
        <f t="shared" si="44"/>
        <v>20220202</v>
      </c>
      <c r="C2392" s="5">
        <v>0</v>
      </c>
      <c r="D2392" s="5">
        <v>0</v>
      </c>
      <c r="E2392" s="5">
        <v>0</v>
      </c>
    </row>
    <row r="2393" spans="1:5">
      <c r="A2393" s="4" t="str">
        <f>"20228023825"</f>
        <v>20228023825</v>
      </c>
      <c r="B2393" s="4" t="str">
        <f t="shared" si="44"/>
        <v>20220202</v>
      </c>
      <c r="C2393" s="5">
        <v>75.75</v>
      </c>
      <c r="D2393" s="5">
        <v>53.8</v>
      </c>
      <c r="E2393" s="5">
        <v>62.58</v>
      </c>
    </row>
    <row r="2394" spans="1:5">
      <c r="A2394" s="4" t="str">
        <f>"20228023826"</f>
        <v>20228023826</v>
      </c>
      <c r="B2394" s="4" t="str">
        <f t="shared" si="44"/>
        <v>20220202</v>
      </c>
      <c r="C2394" s="5">
        <v>76.8</v>
      </c>
      <c r="D2394" s="5">
        <v>75.8</v>
      </c>
      <c r="E2394" s="5">
        <v>76.2</v>
      </c>
    </row>
    <row r="2395" spans="1:5">
      <c r="A2395" s="4" t="str">
        <f>"20228023827"</f>
        <v>20228023827</v>
      </c>
      <c r="B2395" s="4" t="str">
        <f t="shared" si="44"/>
        <v>20220202</v>
      </c>
      <c r="C2395" s="5">
        <v>0</v>
      </c>
      <c r="D2395" s="5">
        <v>0</v>
      </c>
      <c r="E2395" s="5">
        <v>0</v>
      </c>
    </row>
    <row r="2396" spans="1:5">
      <c r="A2396" s="4" t="str">
        <f>"20228023828"</f>
        <v>20228023828</v>
      </c>
      <c r="B2396" s="4" t="str">
        <f t="shared" si="44"/>
        <v>20220202</v>
      </c>
      <c r="C2396" s="5">
        <v>84.27</v>
      </c>
      <c r="D2396" s="5">
        <v>75.9</v>
      </c>
      <c r="E2396" s="5">
        <v>79.25</v>
      </c>
    </row>
    <row r="2397" spans="1:5">
      <c r="A2397" s="4" t="str">
        <f>"20228023829"</f>
        <v>20228023829</v>
      </c>
      <c r="B2397" s="4" t="str">
        <f t="shared" si="44"/>
        <v>20220202</v>
      </c>
      <c r="C2397" s="5">
        <v>81.04</v>
      </c>
      <c r="D2397" s="5">
        <v>76.7</v>
      </c>
      <c r="E2397" s="5">
        <v>78.44</v>
      </c>
    </row>
    <row r="2398" spans="1:5">
      <c r="A2398" s="4" t="str">
        <f>"20228023830"</f>
        <v>20228023830</v>
      </c>
      <c r="B2398" s="4" t="str">
        <f t="shared" si="44"/>
        <v>20220202</v>
      </c>
      <c r="C2398" s="5">
        <v>0</v>
      </c>
      <c r="D2398" s="5">
        <v>0</v>
      </c>
      <c r="E2398" s="5">
        <v>0</v>
      </c>
    </row>
    <row r="2399" spans="1:5">
      <c r="A2399" s="4" t="str">
        <f>"20228023901"</f>
        <v>20228023901</v>
      </c>
      <c r="B2399" s="4" t="str">
        <f t="shared" si="44"/>
        <v>20220202</v>
      </c>
      <c r="C2399" s="5">
        <v>0</v>
      </c>
      <c r="D2399" s="5">
        <v>0</v>
      </c>
      <c r="E2399" s="5">
        <v>0</v>
      </c>
    </row>
    <row r="2400" spans="1:5">
      <c r="A2400" s="4" t="str">
        <f>"20228023902"</f>
        <v>20228023902</v>
      </c>
      <c r="B2400" s="4" t="str">
        <f t="shared" si="44"/>
        <v>20220202</v>
      </c>
      <c r="C2400" s="5">
        <v>73.28</v>
      </c>
      <c r="D2400" s="5">
        <v>54</v>
      </c>
      <c r="E2400" s="5">
        <v>61.71</v>
      </c>
    </row>
    <row r="2401" spans="1:5">
      <c r="A2401" s="4" t="str">
        <f>"20228023903"</f>
        <v>20228023903</v>
      </c>
      <c r="B2401" s="4" t="str">
        <f t="shared" si="44"/>
        <v>20220202</v>
      </c>
      <c r="C2401" s="5">
        <v>64.04</v>
      </c>
      <c r="D2401" s="5">
        <v>59.4</v>
      </c>
      <c r="E2401" s="5">
        <v>61.26</v>
      </c>
    </row>
    <row r="2402" spans="1:5">
      <c r="A2402" s="4" t="str">
        <f>"20228023904"</f>
        <v>20228023904</v>
      </c>
      <c r="B2402" s="4" t="str">
        <f t="shared" si="44"/>
        <v>20220202</v>
      </c>
      <c r="C2402" s="5">
        <v>94.96</v>
      </c>
      <c r="D2402" s="5">
        <v>83.7</v>
      </c>
      <c r="E2402" s="5">
        <v>88.2</v>
      </c>
    </row>
    <row r="2403" spans="1:5">
      <c r="A2403" s="4" t="str">
        <f>"20228023905"</f>
        <v>20228023905</v>
      </c>
      <c r="B2403" s="4" t="str">
        <f t="shared" si="44"/>
        <v>20220202</v>
      </c>
      <c r="C2403" s="5">
        <v>0</v>
      </c>
      <c r="D2403" s="5">
        <v>0</v>
      </c>
      <c r="E2403" s="5">
        <v>0</v>
      </c>
    </row>
    <row r="2404" spans="1:5">
      <c r="A2404" s="4" t="str">
        <f>"20228023906"</f>
        <v>20228023906</v>
      </c>
      <c r="B2404" s="4" t="str">
        <f t="shared" si="44"/>
        <v>20220202</v>
      </c>
      <c r="C2404" s="5">
        <v>75.9</v>
      </c>
      <c r="D2404" s="5">
        <v>57.2</v>
      </c>
      <c r="E2404" s="5">
        <v>64.68</v>
      </c>
    </row>
    <row r="2405" spans="1:5">
      <c r="A2405" s="4" t="str">
        <f>"20228023907"</f>
        <v>20228023907</v>
      </c>
      <c r="B2405" s="4" t="str">
        <f t="shared" si="44"/>
        <v>20220202</v>
      </c>
      <c r="C2405" s="5">
        <v>88.06</v>
      </c>
      <c r="D2405" s="5">
        <v>75.7</v>
      </c>
      <c r="E2405" s="5">
        <v>80.64</v>
      </c>
    </row>
    <row r="2406" spans="1:5">
      <c r="A2406" s="4" t="str">
        <f>"20228023908"</f>
        <v>20228023908</v>
      </c>
      <c r="B2406" s="4" t="str">
        <f t="shared" si="44"/>
        <v>20220202</v>
      </c>
      <c r="C2406" s="5">
        <v>84.24</v>
      </c>
      <c r="D2406" s="5">
        <v>75.3</v>
      </c>
      <c r="E2406" s="5">
        <v>78.88</v>
      </c>
    </row>
    <row r="2407" spans="1:5">
      <c r="A2407" s="4" t="str">
        <f>"20228023909"</f>
        <v>20228023909</v>
      </c>
      <c r="B2407" s="4" t="str">
        <f t="shared" si="44"/>
        <v>20220202</v>
      </c>
      <c r="C2407" s="5">
        <v>0</v>
      </c>
      <c r="D2407" s="5">
        <v>0</v>
      </c>
      <c r="E2407" s="5">
        <v>0</v>
      </c>
    </row>
    <row r="2408" spans="1:5">
      <c r="A2408" s="4" t="str">
        <f>"20228023910"</f>
        <v>20228023910</v>
      </c>
      <c r="B2408" s="4" t="str">
        <f t="shared" si="44"/>
        <v>20220202</v>
      </c>
      <c r="C2408" s="5">
        <v>0</v>
      </c>
      <c r="D2408" s="5">
        <v>0</v>
      </c>
      <c r="E2408" s="5">
        <v>0</v>
      </c>
    </row>
    <row r="2409" spans="1:5">
      <c r="A2409" s="4" t="str">
        <f>"20228023911"</f>
        <v>20228023911</v>
      </c>
      <c r="B2409" s="4" t="str">
        <f t="shared" si="44"/>
        <v>20220202</v>
      </c>
      <c r="C2409" s="5">
        <v>76.23</v>
      </c>
      <c r="D2409" s="5">
        <v>87.6</v>
      </c>
      <c r="E2409" s="5">
        <v>83.05</v>
      </c>
    </row>
    <row r="2410" spans="1:5">
      <c r="A2410" s="4" t="str">
        <f>"20228023912"</f>
        <v>20228023912</v>
      </c>
      <c r="B2410" s="4" t="str">
        <f t="shared" si="44"/>
        <v>20220202</v>
      </c>
      <c r="C2410" s="5">
        <v>78.68</v>
      </c>
      <c r="D2410" s="5">
        <v>67.7</v>
      </c>
      <c r="E2410" s="5">
        <v>72.09</v>
      </c>
    </row>
    <row r="2411" spans="1:5">
      <c r="A2411" s="4" t="str">
        <f>"20228023913"</f>
        <v>20228023913</v>
      </c>
      <c r="B2411" s="4" t="str">
        <f t="shared" si="44"/>
        <v>20220202</v>
      </c>
      <c r="C2411" s="5">
        <v>77.95</v>
      </c>
      <c r="D2411" s="5">
        <v>77.3</v>
      </c>
      <c r="E2411" s="5">
        <v>77.56</v>
      </c>
    </row>
    <row r="2412" spans="1:5">
      <c r="A2412" s="4" t="str">
        <f>"20228023914"</f>
        <v>20228023914</v>
      </c>
      <c r="B2412" s="4" t="str">
        <f t="shared" si="44"/>
        <v>20220202</v>
      </c>
      <c r="C2412" s="5">
        <v>84.68</v>
      </c>
      <c r="D2412" s="5">
        <v>81.1</v>
      </c>
      <c r="E2412" s="5">
        <v>82.53</v>
      </c>
    </row>
    <row r="2413" spans="1:5">
      <c r="A2413" s="4" t="str">
        <f>"20228023915"</f>
        <v>20228023915</v>
      </c>
      <c r="B2413" s="4" t="str">
        <f t="shared" si="44"/>
        <v>20220202</v>
      </c>
      <c r="C2413" s="5">
        <v>0</v>
      </c>
      <c r="D2413" s="5">
        <v>0</v>
      </c>
      <c r="E2413" s="5">
        <v>0</v>
      </c>
    </row>
    <row r="2414" spans="1:5">
      <c r="A2414" s="4" t="str">
        <f>"20228023916"</f>
        <v>20228023916</v>
      </c>
      <c r="B2414" s="4" t="str">
        <f t="shared" si="44"/>
        <v>20220202</v>
      </c>
      <c r="C2414" s="5">
        <v>75.05</v>
      </c>
      <c r="D2414" s="5">
        <v>76.5</v>
      </c>
      <c r="E2414" s="5">
        <v>75.92</v>
      </c>
    </row>
    <row r="2415" spans="1:5">
      <c r="A2415" s="4" t="str">
        <f>"20228023917"</f>
        <v>20228023917</v>
      </c>
      <c r="B2415" s="4" t="str">
        <f t="shared" si="44"/>
        <v>20220202</v>
      </c>
      <c r="C2415" s="5">
        <v>0</v>
      </c>
      <c r="D2415" s="5">
        <v>0</v>
      </c>
      <c r="E2415" s="5">
        <v>0</v>
      </c>
    </row>
    <row r="2416" spans="1:5">
      <c r="A2416" s="4" t="str">
        <f>"20228023918"</f>
        <v>20228023918</v>
      </c>
      <c r="B2416" s="4" t="str">
        <f t="shared" si="44"/>
        <v>20220202</v>
      </c>
      <c r="C2416" s="5">
        <v>80.12</v>
      </c>
      <c r="D2416" s="5">
        <v>31.8</v>
      </c>
      <c r="E2416" s="5">
        <v>51.13</v>
      </c>
    </row>
    <row r="2417" spans="1:5">
      <c r="A2417" s="4" t="str">
        <f>"20228023919"</f>
        <v>20228023919</v>
      </c>
      <c r="B2417" s="4" t="str">
        <f t="shared" si="44"/>
        <v>20220202</v>
      </c>
      <c r="C2417" s="5">
        <v>82.28</v>
      </c>
      <c r="D2417" s="5">
        <v>77</v>
      </c>
      <c r="E2417" s="5">
        <v>79.11</v>
      </c>
    </row>
    <row r="2418" spans="1:5">
      <c r="A2418" s="4" t="str">
        <f>"20228023920"</f>
        <v>20228023920</v>
      </c>
      <c r="B2418" s="4" t="str">
        <f t="shared" si="44"/>
        <v>20220202</v>
      </c>
      <c r="C2418" s="5">
        <v>75.42</v>
      </c>
      <c r="D2418" s="5">
        <v>71.7</v>
      </c>
      <c r="E2418" s="5">
        <v>73.19</v>
      </c>
    </row>
    <row r="2419" spans="1:5">
      <c r="A2419" s="4" t="str">
        <f>"20228023921"</f>
        <v>20228023921</v>
      </c>
      <c r="B2419" s="4" t="str">
        <f t="shared" si="44"/>
        <v>20220202</v>
      </c>
      <c r="C2419" s="5">
        <v>0</v>
      </c>
      <c r="D2419" s="5">
        <v>0</v>
      </c>
      <c r="E2419" s="5">
        <v>0</v>
      </c>
    </row>
    <row r="2420" spans="1:5">
      <c r="A2420" s="4" t="str">
        <f>"20228023922"</f>
        <v>20228023922</v>
      </c>
      <c r="B2420" s="4" t="str">
        <f t="shared" si="44"/>
        <v>20220202</v>
      </c>
      <c r="C2420" s="5">
        <v>0</v>
      </c>
      <c r="D2420" s="5">
        <v>0</v>
      </c>
      <c r="E2420" s="5">
        <v>0</v>
      </c>
    </row>
    <row r="2421" spans="1:5">
      <c r="A2421" s="4" t="str">
        <f>"20228023923"</f>
        <v>20228023923</v>
      </c>
      <c r="B2421" s="4" t="str">
        <f t="shared" si="44"/>
        <v>20220202</v>
      </c>
      <c r="C2421" s="5">
        <v>0</v>
      </c>
      <c r="D2421" s="5">
        <v>0</v>
      </c>
      <c r="E2421" s="5">
        <v>0</v>
      </c>
    </row>
    <row r="2422" spans="1:5">
      <c r="A2422" s="4" t="str">
        <f>"20228023924"</f>
        <v>20228023924</v>
      </c>
      <c r="B2422" s="4" t="str">
        <f t="shared" si="44"/>
        <v>20220202</v>
      </c>
      <c r="C2422" s="5">
        <v>75.5</v>
      </c>
      <c r="D2422" s="5">
        <v>77.3</v>
      </c>
      <c r="E2422" s="5">
        <v>76.58</v>
      </c>
    </row>
    <row r="2423" spans="1:5">
      <c r="A2423" s="4" t="str">
        <f>"20228023925"</f>
        <v>20228023925</v>
      </c>
      <c r="B2423" s="4" t="str">
        <f t="shared" si="44"/>
        <v>20220202</v>
      </c>
      <c r="C2423" s="5">
        <v>85.1</v>
      </c>
      <c r="D2423" s="5">
        <v>83.4</v>
      </c>
      <c r="E2423" s="5">
        <v>84.08</v>
      </c>
    </row>
    <row r="2424" spans="1:5">
      <c r="A2424" s="4" t="str">
        <f>"20228023926"</f>
        <v>20228023926</v>
      </c>
      <c r="B2424" s="4" t="str">
        <f t="shared" si="44"/>
        <v>20220202</v>
      </c>
      <c r="C2424" s="5">
        <v>73.54</v>
      </c>
      <c r="D2424" s="5">
        <v>84.2</v>
      </c>
      <c r="E2424" s="5">
        <v>79.94</v>
      </c>
    </row>
    <row r="2425" spans="1:5">
      <c r="A2425" s="4" t="str">
        <f>"20228023927"</f>
        <v>20228023927</v>
      </c>
      <c r="B2425" s="4" t="str">
        <f t="shared" si="44"/>
        <v>20220202</v>
      </c>
      <c r="C2425" s="5">
        <v>76.53</v>
      </c>
      <c r="D2425" s="5">
        <v>74.9</v>
      </c>
      <c r="E2425" s="5">
        <v>75.55</v>
      </c>
    </row>
    <row r="2426" spans="1:5">
      <c r="A2426" s="4" t="str">
        <f>"20228023928"</f>
        <v>20228023928</v>
      </c>
      <c r="B2426" s="4" t="str">
        <f t="shared" si="44"/>
        <v>20220202</v>
      </c>
      <c r="C2426" s="5">
        <v>87.34</v>
      </c>
      <c r="D2426" s="5">
        <v>72.6</v>
      </c>
      <c r="E2426" s="5">
        <v>78.5</v>
      </c>
    </row>
    <row r="2427" spans="1:5">
      <c r="A2427" s="4" t="str">
        <f>"20228023929"</f>
        <v>20228023929</v>
      </c>
      <c r="B2427" s="4" t="str">
        <f t="shared" si="44"/>
        <v>20220202</v>
      </c>
      <c r="C2427" s="5">
        <v>0</v>
      </c>
      <c r="D2427" s="5">
        <v>0</v>
      </c>
      <c r="E2427" s="5">
        <v>0</v>
      </c>
    </row>
    <row r="2428" spans="1:5">
      <c r="A2428" s="4" t="str">
        <f>"20228023930"</f>
        <v>20228023930</v>
      </c>
      <c r="B2428" s="4" t="str">
        <f t="shared" si="44"/>
        <v>20220202</v>
      </c>
      <c r="C2428" s="5">
        <v>0</v>
      </c>
      <c r="D2428" s="5">
        <v>0</v>
      </c>
      <c r="E2428" s="5">
        <v>0</v>
      </c>
    </row>
    <row r="2429" spans="1:5">
      <c r="A2429" s="4" t="str">
        <f>"20228024001"</f>
        <v>20228024001</v>
      </c>
      <c r="B2429" s="4" t="str">
        <f t="shared" si="44"/>
        <v>20220202</v>
      </c>
      <c r="C2429" s="5">
        <v>90.21</v>
      </c>
      <c r="D2429" s="5">
        <v>80.7</v>
      </c>
      <c r="E2429" s="5">
        <v>84.5</v>
      </c>
    </row>
    <row r="2430" spans="1:5">
      <c r="A2430" s="4" t="str">
        <f>"20228024002"</f>
        <v>20228024002</v>
      </c>
      <c r="B2430" s="4" t="str">
        <f t="shared" si="44"/>
        <v>20220202</v>
      </c>
      <c r="C2430" s="5">
        <v>75.85</v>
      </c>
      <c r="D2430" s="5">
        <v>89.3</v>
      </c>
      <c r="E2430" s="5">
        <v>83.92</v>
      </c>
    </row>
    <row r="2431" spans="1:5">
      <c r="A2431" s="4" t="str">
        <f>"20228024003"</f>
        <v>20228024003</v>
      </c>
      <c r="B2431" s="4" t="str">
        <f t="shared" si="44"/>
        <v>20220202</v>
      </c>
      <c r="C2431" s="5">
        <v>83.28</v>
      </c>
      <c r="D2431" s="5">
        <v>66.1</v>
      </c>
      <c r="E2431" s="5">
        <v>72.97</v>
      </c>
    </row>
    <row r="2432" spans="1:5">
      <c r="A2432" s="4" t="str">
        <f>"20228024004"</f>
        <v>20228024004</v>
      </c>
      <c r="B2432" s="4" t="str">
        <f t="shared" si="44"/>
        <v>20220202</v>
      </c>
      <c r="C2432" s="5">
        <v>0</v>
      </c>
      <c r="D2432" s="5">
        <v>0</v>
      </c>
      <c r="E2432" s="5">
        <v>0</v>
      </c>
    </row>
    <row r="2433" spans="1:5">
      <c r="A2433" s="4" t="str">
        <f>"20228024005"</f>
        <v>20228024005</v>
      </c>
      <c r="B2433" s="4" t="str">
        <f t="shared" si="44"/>
        <v>20220202</v>
      </c>
      <c r="C2433" s="5">
        <v>0</v>
      </c>
      <c r="D2433" s="5">
        <v>0</v>
      </c>
      <c r="E2433" s="5">
        <v>0</v>
      </c>
    </row>
    <row r="2434" spans="1:5">
      <c r="A2434" s="4" t="str">
        <f>"20228024006"</f>
        <v>20228024006</v>
      </c>
      <c r="B2434" s="4" t="str">
        <f t="shared" si="44"/>
        <v>20220202</v>
      </c>
      <c r="C2434" s="5">
        <v>82.66</v>
      </c>
      <c r="D2434" s="5">
        <v>76.8</v>
      </c>
      <c r="E2434" s="5">
        <v>79.14</v>
      </c>
    </row>
    <row r="2435" spans="1:5">
      <c r="A2435" s="4" t="str">
        <f>"20228024007"</f>
        <v>20228024007</v>
      </c>
      <c r="B2435" s="4" t="str">
        <f t="shared" si="44"/>
        <v>20220202</v>
      </c>
      <c r="C2435" s="5">
        <v>83.94</v>
      </c>
      <c r="D2435" s="5">
        <v>37.7</v>
      </c>
      <c r="E2435" s="5">
        <v>56.2</v>
      </c>
    </row>
    <row r="2436" spans="1:5">
      <c r="A2436" s="4" t="str">
        <f>"20228024008"</f>
        <v>20228024008</v>
      </c>
      <c r="B2436" s="4" t="str">
        <f t="shared" si="44"/>
        <v>20220202</v>
      </c>
      <c r="C2436" s="5">
        <v>83.63</v>
      </c>
      <c r="D2436" s="5">
        <v>79.8</v>
      </c>
      <c r="E2436" s="5">
        <v>81.33</v>
      </c>
    </row>
    <row r="2437" spans="1:5">
      <c r="A2437" s="4" t="str">
        <f>"20228024009"</f>
        <v>20228024009</v>
      </c>
      <c r="B2437" s="4" t="str">
        <f t="shared" si="44"/>
        <v>20220202</v>
      </c>
      <c r="C2437" s="5">
        <v>0</v>
      </c>
      <c r="D2437" s="5">
        <v>0</v>
      </c>
      <c r="E2437" s="5">
        <v>0</v>
      </c>
    </row>
    <row r="2438" spans="1:5">
      <c r="A2438" s="4" t="str">
        <f>"20228024010"</f>
        <v>20228024010</v>
      </c>
      <c r="B2438" s="4" t="str">
        <f t="shared" si="44"/>
        <v>20220202</v>
      </c>
      <c r="C2438" s="5">
        <v>77.9</v>
      </c>
      <c r="D2438" s="5">
        <v>69.2</v>
      </c>
      <c r="E2438" s="5">
        <v>72.68</v>
      </c>
    </row>
    <row r="2439" spans="1:5">
      <c r="A2439" s="4" t="str">
        <f>"20228024011"</f>
        <v>20228024011</v>
      </c>
      <c r="B2439" s="4" t="str">
        <f t="shared" si="44"/>
        <v>20220202</v>
      </c>
      <c r="C2439" s="5">
        <v>0</v>
      </c>
      <c r="D2439" s="5">
        <v>0</v>
      </c>
      <c r="E2439" s="5">
        <v>0</v>
      </c>
    </row>
    <row r="2440" spans="1:5">
      <c r="A2440" s="4" t="str">
        <f>"20228024012"</f>
        <v>20228024012</v>
      </c>
      <c r="B2440" s="4" t="str">
        <f t="shared" si="44"/>
        <v>20220202</v>
      </c>
      <c r="C2440" s="5">
        <v>0</v>
      </c>
      <c r="D2440" s="5">
        <v>0</v>
      </c>
      <c r="E2440" s="5">
        <v>0</v>
      </c>
    </row>
    <row r="2441" spans="1:5">
      <c r="A2441" s="4" t="str">
        <f>"20228024013"</f>
        <v>20228024013</v>
      </c>
      <c r="B2441" s="4" t="str">
        <f t="shared" si="44"/>
        <v>20220202</v>
      </c>
      <c r="C2441" s="5">
        <v>77</v>
      </c>
      <c r="D2441" s="5">
        <v>75.5</v>
      </c>
      <c r="E2441" s="5">
        <v>76.1</v>
      </c>
    </row>
    <row r="2442" spans="1:5">
      <c r="A2442" s="4" t="str">
        <f>"20228024014"</f>
        <v>20228024014</v>
      </c>
      <c r="B2442" s="4" t="str">
        <f t="shared" si="44"/>
        <v>20220202</v>
      </c>
      <c r="C2442" s="5">
        <v>0</v>
      </c>
      <c r="D2442" s="5">
        <v>0</v>
      </c>
      <c r="E2442" s="5">
        <v>0</v>
      </c>
    </row>
    <row r="2443" spans="1:5">
      <c r="A2443" s="4" t="str">
        <f>"20228024015"</f>
        <v>20228024015</v>
      </c>
      <c r="B2443" s="4" t="str">
        <f t="shared" si="44"/>
        <v>20220202</v>
      </c>
      <c r="C2443" s="5">
        <v>0</v>
      </c>
      <c r="D2443" s="5">
        <v>0</v>
      </c>
      <c r="E2443" s="5">
        <v>0</v>
      </c>
    </row>
    <row r="2444" spans="1:5">
      <c r="A2444" s="4" t="str">
        <f>"20228024016"</f>
        <v>20228024016</v>
      </c>
      <c r="B2444" s="4" t="str">
        <f t="shared" si="44"/>
        <v>20220202</v>
      </c>
      <c r="C2444" s="5">
        <v>86.08</v>
      </c>
      <c r="D2444" s="5">
        <v>95.4</v>
      </c>
      <c r="E2444" s="5">
        <v>91.67</v>
      </c>
    </row>
    <row r="2445" spans="1:5">
      <c r="A2445" s="4" t="str">
        <f>"20228024017"</f>
        <v>20228024017</v>
      </c>
      <c r="B2445" s="4" t="str">
        <f t="shared" ref="B2445:B2508" si="45">"20220103"</f>
        <v>20220103</v>
      </c>
      <c r="C2445" s="5">
        <v>78.2</v>
      </c>
      <c r="D2445" s="5">
        <v>101.8</v>
      </c>
      <c r="E2445" s="5">
        <v>92.36</v>
      </c>
    </row>
    <row r="2446" spans="1:5">
      <c r="A2446" s="4" t="str">
        <f>"20228024018"</f>
        <v>20228024018</v>
      </c>
      <c r="B2446" s="4" t="str">
        <f t="shared" si="45"/>
        <v>20220103</v>
      </c>
      <c r="C2446" s="5">
        <v>95.77</v>
      </c>
      <c r="D2446" s="5">
        <v>103.9</v>
      </c>
      <c r="E2446" s="5">
        <v>100.65</v>
      </c>
    </row>
    <row r="2447" spans="1:5">
      <c r="A2447" s="4" t="str">
        <f>"20228024019"</f>
        <v>20228024019</v>
      </c>
      <c r="B2447" s="4" t="str">
        <f t="shared" si="45"/>
        <v>20220103</v>
      </c>
      <c r="C2447" s="5">
        <v>73.83</v>
      </c>
      <c r="D2447" s="5">
        <v>97.7</v>
      </c>
      <c r="E2447" s="5">
        <v>88.15</v>
      </c>
    </row>
    <row r="2448" spans="1:5">
      <c r="A2448" s="4" t="str">
        <f>"20228024020"</f>
        <v>20228024020</v>
      </c>
      <c r="B2448" s="4" t="str">
        <f t="shared" si="45"/>
        <v>20220103</v>
      </c>
      <c r="C2448" s="5">
        <v>93.07</v>
      </c>
      <c r="D2448" s="5">
        <v>94.7</v>
      </c>
      <c r="E2448" s="5">
        <v>94.05</v>
      </c>
    </row>
    <row r="2449" spans="1:5">
      <c r="A2449" s="4" t="str">
        <f>"20228024021"</f>
        <v>20228024021</v>
      </c>
      <c r="B2449" s="4" t="str">
        <f t="shared" si="45"/>
        <v>20220103</v>
      </c>
      <c r="C2449" s="5">
        <v>67.7</v>
      </c>
      <c r="D2449" s="5">
        <v>99.1</v>
      </c>
      <c r="E2449" s="5">
        <v>86.54</v>
      </c>
    </row>
    <row r="2450" spans="1:5">
      <c r="A2450" s="4" t="str">
        <f>"20228024022"</f>
        <v>20228024022</v>
      </c>
      <c r="B2450" s="4" t="str">
        <f t="shared" si="45"/>
        <v>20220103</v>
      </c>
      <c r="C2450" s="5">
        <v>83.98</v>
      </c>
      <c r="D2450" s="5">
        <v>98.5</v>
      </c>
      <c r="E2450" s="5">
        <v>92.69</v>
      </c>
    </row>
    <row r="2451" spans="1:5">
      <c r="A2451" s="4" t="str">
        <f>"20228024023"</f>
        <v>20228024023</v>
      </c>
      <c r="B2451" s="4" t="str">
        <f t="shared" si="45"/>
        <v>20220103</v>
      </c>
      <c r="C2451" s="5">
        <v>85.07</v>
      </c>
      <c r="D2451" s="5">
        <v>102.8</v>
      </c>
      <c r="E2451" s="5">
        <v>95.71</v>
      </c>
    </row>
    <row r="2452" spans="1:5">
      <c r="A2452" s="4" t="str">
        <f>"20228024024"</f>
        <v>20228024024</v>
      </c>
      <c r="B2452" s="4" t="str">
        <f t="shared" si="45"/>
        <v>20220103</v>
      </c>
      <c r="C2452" s="5">
        <v>0</v>
      </c>
      <c r="D2452" s="5">
        <v>0</v>
      </c>
      <c r="E2452" s="5">
        <v>0</v>
      </c>
    </row>
    <row r="2453" spans="1:5">
      <c r="A2453" s="4" t="str">
        <f>"20228024025"</f>
        <v>20228024025</v>
      </c>
      <c r="B2453" s="4" t="str">
        <f t="shared" si="45"/>
        <v>20220103</v>
      </c>
      <c r="C2453" s="5">
        <v>80.43</v>
      </c>
      <c r="D2453" s="5">
        <v>103.7</v>
      </c>
      <c r="E2453" s="5">
        <v>94.39</v>
      </c>
    </row>
    <row r="2454" spans="1:5">
      <c r="A2454" s="4" t="str">
        <f>"20228024026"</f>
        <v>20228024026</v>
      </c>
      <c r="B2454" s="4" t="str">
        <f t="shared" si="45"/>
        <v>20220103</v>
      </c>
      <c r="C2454" s="5">
        <v>89.33</v>
      </c>
      <c r="D2454" s="5">
        <v>98.9</v>
      </c>
      <c r="E2454" s="5">
        <v>95.07</v>
      </c>
    </row>
    <row r="2455" spans="1:5">
      <c r="A2455" s="4" t="str">
        <f>"20228024027"</f>
        <v>20228024027</v>
      </c>
      <c r="B2455" s="4" t="str">
        <f t="shared" si="45"/>
        <v>20220103</v>
      </c>
      <c r="C2455" s="5">
        <v>91.85</v>
      </c>
      <c r="D2455" s="5">
        <v>98.2</v>
      </c>
      <c r="E2455" s="5">
        <v>95.66</v>
      </c>
    </row>
    <row r="2456" spans="1:5">
      <c r="A2456" s="4" t="str">
        <f>"20228024028"</f>
        <v>20228024028</v>
      </c>
      <c r="B2456" s="4" t="str">
        <f t="shared" si="45"/>
        <v>20220103</v>
      </c>
      <c r="C2456" s="5">
        <v>0</v>
      </c>
      <c r="D2456" s="5">
        <v>0</v>
      </c>
      <c r="E2456" s="5">
        <v>0</v>
      </c>
    </row>
    <row r="2457" spans="1:5">
      <c r="A2457" s="4" t="str">
        <f>"20228024029"</f>
        <v>20228024029</v>
      </c>
      <c r="B2457" s="4" t="str">
        <f t="shared" si="45"/>
        <v>20220103</v>
      </c>
      <c r="C2457" s="5">
        <v>85.46</v>
      </c>
      <c r="D2457" s="5">
        <v>101.6</v>
      </c>
      <c r="E2457" s="5">
        <v>95.14</v>
      </c>
    </row>
    <row r="2458" spans="1:5">
      <c r="A2458" s="4" t="str">
        <f>"20228024030"</f>
        <v>20228024030</v>
      </c>
      <c r="B2458" s="4" t="str">
        <f t="shared" si="45"/>
        <v>20220103</v>
      </c>
      <c r="C2458" s="5">
        <v>0</v>
      </c>
      <c r="D2458" s="5">
        <v>0</v>
      </c>
      <c r="E2458" s="5">
        <v>0</v>
      </c>
    </row>
    <row r="2459" spans="1:5">
      <c r="A2459" s="4" t="str">
        <f>"20228024101"</f>
        <v>20228024101</v>
      </c>
      <c r="B2459" s="4" t="str">
        <f t="shared" si="45"/>
        <v>20220103</v>
      </c>
      <c r="C2459" s="5">
        <v>0</v>
      </c>
      <c r="D2459" s="5">
        <v>0</v>
      </c>
      <c r="E2459" s="5">
        <v>0</v>
      </c>
    </row>
    <row r="2460" spans="1:5">
      <c r="A2460" s="4" t="str">
        <f>"20228024102"</f>
        <v>20228024102</v>
      </c>
      <c r="B2460" s="4" t="str">
        <f t="shared" si="45"/>
        <v>20220103</v>
      </c>
      <c r="C2460" s="5">
        <v>80.67</v>
      </c>
      <c r="D2460" s="5">
        <v>101.8</v>
      </c>
      <c r="E2460" s="5">
        <v>93.35</v>
      </c>
    </row>
    <row r="2461" spans="1:5">
      <c r="A2461" s="4" t="str">
        <f>"20228024103"</f>
        <v>20228024103</v>
      </c>
      <c r="B2461" s="4" t="str">
        <f t="shared" si="45"/>
        <v>20220103</v>
      </c>
      <c r="C2461" s="5">
        <v>0</v>
      </c>
      <c r="D2461" s="5">
        <v>0</v>
      </c>
      <c r="E2461" s="5">
        <v>0</v>
      </c>
    </row>
    <row r="2462" spans="1:5">
      <c r="A2462" s="4" t="str">
        <f>"20228024104"</f>
        <v>20228024104</v>
      </c>
      <c r="B2462" s="4" t="str">
        <f t="shared" si="45"/>
        <v>20220103</v>
      </c>
      <c r="C2462" s="5">
        <v>70.28</v>
      </c>
      <c r="D2462" s="5">
        <v>87.6</v>
      </c>
      <c r="E2462" s="5">
        <v>80.67</v>
      </c>
    </row>
    <row r="2463" spans="1:5">
      <c r="A2463" s="4" t="str">
        <f>"20228024105"</f>
        <v>20228024105</v>
      </c>
      <c r="B2463" s="4" t="str">
        <f t="shared" si="45"/>
        <v>20220103</v>
      </c>
      <c r="C2463" s="5">
        <v>93.43</v>
      </c>
      <c r="D2463" s="5">
        <v>106.1</v>
      </c>
      <c r="E2463" s="5">
        <v>101.03</v>
      </c>
    </row>
    <row r="2464" spans="1:5">
      <c r="A2464" s="4" t="str">
        <f>"20228024106"</f>
        <v>20228024106</v>
      </c>
      <c r="B2464" s="4" t="str">
        <f t="shared" si="45"/>
        <v>20220103</v>
      </c>
      <c r="C2464" s="5">
        <v>95.82</v>
      </c>
      <c r="D2464" s="5">
        <v>102</v>
      </c>
      <c r="E2464" s="5">
        <v>99.53</v>
      </c>
    </row>
    <row r="2465" spans="1:5">
      <c r="A2465" s="4" t="str">
        <f>"20228024107"</f>
        <v>20228024107</v>
      </c>
      <c r="B2465" s="4" t="str">
        <f t="shared" si="45"/>
        <v>20220103</v>
      </c>
      <c r="C2465" s="5">
        <v>80.84</v>
      </c>
      <c r="D2465" s="5">
        <v>101.9</v>
      </c>
      <c r="E2465" s="5">
        <v>93.48</v>
      </c>
    </row>
    <row r="2466" spans="1:5">
      <c r="A2466" s="4" t="str">
        <f>"20228024108"</f>
        <v>20228024108</v>
      </c>
      <c r="B2466" s="4" t="str">
        <f t="shared" si="45"/>
        <v>20220103</v>
      </c>
      <c r="C2466" s="5">
        <v>0</v>
      </c>
      <c r="D2466" s="5">
        <v>0</v>
      </c>
      <c r="E2466" s="5">
        <v>0</v>
      </c>
    </row>
    <row r="2467" spans="1:5">
      <c r="A2467" s="4" t="str">
        <f>"20228024109"</f>
        <v>20228024109</v>
      </c>
      <c r="B2467" s="4" t="str">
        <f t="shared" si="45"/>
        <v>20220103</v>
      </c>
      <c r="C2467" s="5">
        <v>81.91</v>
      </c>
      <c r="D2467" s="5">
        <v>103.5</v>
      </c>
      <c r="E2467" s="5">
        <v>94.86</v>
      </c>
    </row>
    <row r="2468" spans="1:5">
      <c r="A2468" s="4" t="str">
        <f>"20228024110"</f>
        <v>20228024110</v>
      </c>
      <c r="B2468" s="4" t="str">
        <f t="shared" si="45"/>
        <v>20220103</v>
      </c>
      <c r="C2468" s="5">
        <v>0</v>
      </c>
      <c r="D2468" s="5">
        <v>0</v>
      </c>
      <c r="E2468" s="5">
        <v>0</v>
      </c>
    </row>
    <row r="2469" spans="1:5">
      <c r="A2469" s="4" t="str">
        <f>"20228024111"</f>
        <v>20228024111</v>
      </c>
      <c r="B2469" s="4" t="str">
        <f t="shared" si="45"/>
        <v>20220103</v>
      </c>
      <c r="C2469" s="5">
        <v>0</v>
      </c>
      <c r="D2469" s="5">
        <v>0</v>
      </c>
      <c r="E2469" s="5">
        <v>0</v>
      </c>
    </row>
    <row r="2470" spans="1:5">
      <c r="A2470" s="4" t="str">
        <f>"20228024112"</f>
        <v>20228024112</v>
      </c>
      <c r="B2470" s="4" t="str">
        <f t="shared" si="45"/>
        <v>20220103</v>
      </c>
      <c r="C2470" s="5">
        <v>0</v>
      </c>
      <c r="D2470" s="5">
        <v>0</v>
      </c>
      <c r="E2470" s="5">
        <v>0</v>
      </c>
    </row>
    <row r="2471" spans="1:5">
      <c r="A2471" s="4" t="str">
        <f>"20228024113"</f>
        <v>20228024113</v>
      </c>
      <c r="B2471" s="4" t="str">
        <f t="shared" si="45"/>
        <v>20220103</v>
      </c>
      <c r="C2471" s="5">
        <v>0</v>
      </c>
      <c r="D2471" s="5">
        <v>0</v>
      </c>
      <c r="E2471" s="5">
        <v>0</v>
      </c>
    </row>
    <row r="2472" spans="1:5">
      <c r="A2472" s="4" t="str">
        <f>"20228024114"</f>
        <v>20228024114</v>
      </c>
      <c r="B2472" s="4" t="str">
        <f t="shared" si="45"/>
        <v>20220103</v>
      </c>
      <c r="C2472" s="5">
        <v>86.44</v>
      </c>
      <c r="D2472" s="5">
        <v>92.1</v>
      </c>
      <c r="E2472" s="5">
        <v>89.84</v>
      </c>
    </row>
    <row r="2473" spans="1:5">
      <c r="A2473" s="4" t="str">
        <f>"20228024115"</f>
        <v>20228024115</v>
      </c>
      <c r="B2473" s="4" t="str">
        <f t="shared" si="45"/>
        <v>20220103</v>
      </c>
      <c r="C2473" s="5">
        <v>88.43</v>
      </c>
      <c r="D2473" s="5">
        <v>97.9</v>
      </c>
      <c r="E2473" s="5">
        <v>94.11</v>
      </c>
    </row>
    <row r="2474" spans="1:5">
      <c r="A2474" s="4" t="str">
        <f>"20228024116"</f>
        <v>20228024116</v>
      </c>
      <c r="B2474" s="4" t="str">
        <f t="shared" si="45"/>
        <v>20220103</v>
      </c>
      <c r="C2474" s="5">
        <v>89.75</v>
      </c>
      <c r="D2474" s="5">
        <v>100.1</v>
      </c>
      <c r="E2474" s="5">
        <v>95.96</v>
      </c>
    </row>
    <row r="2475" spans="1:5">
      <c r="A2475" s="4" t="str">
        <f>"20228024117"</f>
        <v>20228024117</v>
      </c>
      <c r="B2475" s="4" t="str">
        <f t="shared" si="45"/>
        <v>20220103</v>
      </c>
      <c r="C2475" s="5">
        <v>0</v>
      </c>
      <c r="D2475" s="5">
        <v>0</v>
      </c>
      <c r="E2475" s="5">
        <v>0</v>
      </c>
    </row>
    <row r="2476" spans="1:5">
      <c r="A2476" s="4" t="str">
        <f>"20228024118"</f>
        <v>20228024118</v>
      </c>
      <c r="B2476" s="4" t="str">
        <f t="shared" si="45"/>
        <v>20220103</v>
      </c>
      <c r="C2476" s="5">
        <v>76.04</v>
      </c>
      <c r="D2476" s="5">
        <v>92.3</v>
      </c>
      <c r="E2476" s="5">
        <v>85.8</v>
      </c>
    </row>
    <row r="2477" spans="1:5">
      <c r="A2477" s="4" t="str">
        <f>"20228024119"</f>
        <v>20228024119</v>
      </c>
      <c r="B2477" s="4" t="str">
        <f t="shared" si="45"/>
        <v>20220103</v>
      </c>
      <c r="C2477" s="5">
        <v>0</v>
      </c>
      <c r="D2477" s="5">
        <v>0</v>
      </c>
      <c r="E2477" s="5">
        <v>0</v>
      </c>
    </row>
    <row r="2478" spans="1:5">
      <c r="A2478" s="4" t="str">
        <f>"20228024120"</f>
        <v>20228024120</v>
      </c>
      <c r="B2478" s="4" t="str">
        <f t="shared" si="45"/>
        <v>20220103</v>
      </c>
      <c r="C2478" s="5">
        <v>93.27</v>
      </c>
      <c r="D2478" s="5">
        <v>105.6</v>
      </c>
      <c r="E2478" s="5">
        <v>100.67</v>
      </c>
    </row>
    <row r="2479" spans="1:5">
      <c r="A2479" s="4" t="str">
        <f>"20228024121"</f>
        <v>20228024121</v>
      </c>
      <c r="B2479" s="4" t="str">
        <f t="shared" si="45"/>
        <v>20220103</v>
      </c>
      <c r="C2479" s="5">
        <v>82.39</v>
      </c>
      <c r="D2479" s="5">
        <v>103.8</v>
      </c>
      <c r="E2479" s="5">
        <v>95.24</v>
      </c>
    </row>
    <row r="2480" spans="1:5">
      <c r="A2480" s="4" t="str">
        <f>"20228024122"</f>
        <v>20228024122</v>
      </c>
      <c r="B2480" s="4" t="str">
        <f t="shared" si="45"/>
        <v>20220103</v>
      </c>
      <c r="C2480" s="5">
        <v>83.19</v>
      </c>
      <c r="D2480" s="5">
        <v>98.7</v>
      </c>
      <c r="E2480" s="5">
        <v>92.5</v>
      </c>
    </row>
    <row r="2481" spans="1:5">
      <c r="A2481" s="4" t="str">
        <f>"20228024123"</f>
        <v>20228024123</v>
      </c>
      <c r="B2481" s="4" t="str">
        <f t="shared" si="45"/>
        <v>20220103</v>
      </c>
      <c r="C2481" s="5">
        <v>88.05</v>
      </c>
      <c r="D2481" s="5">
        <v>103.4</v>
      </c>
      <c r="E2481" s="5">
        <v>97.26</v>
      </c>
    </row>
    <row r="2482" spans="1:5">
      <c r="A2482" s="4" t="str">
        <f>"20228024124"</f>
        <v>20228024124</v>
      </c>
      <c r="B2482" s="4" t="str">
        <f t="shared" si="45"/>
        <v>20220103</v>
      </c>
      <c r="C2482" s="5">
        <v>92.57</v>
      </c>
      <c r="D2482" s="5">
        <v>98.3</v>
      </c>
      <c r="E2482" s="5">
        <v>96.01</v>
      </c>
    </row>
    <row r="2483" spans="1:5">
      <c r="A2483" s="4" t="str">
        <f>"20228024125"</f>
        <v>20228024125</v>
      </c>
      <c r="B2483" s="4" t="str">
        <f t="shared" si="45"/>
        <v>20220103</v>
      </c>
      <c r="C2483" s="5">
        <v>0</v>
      </c>
      <c r="D2483" s="5">
        <v>0</v>
      </c>
      <c r="E2483" s="5">
        <v>0</v>
      </c>
    </row>
    <row r="2484" spans="1:5">
      <c r="A2484" s="4" t="str">
        <f>"20228024126"</f>
        <v>20228024126</v>
      </c>
      <c r="B2484" s="4" t="str">
        <f t="shared" si="45"/>
        <v>20220103</v>
      </c>
      <c r="C2484" s="5">
        <v>88.44</v>
      </c>
      <c r="D2484" s="5">
        <v>89.7</v>
      </c>
      <c r="E2484" s="5">
        <v>89.2</v>
      </c>
    </row>
    <row r="2485" spans="1:5">
      <c r="A2485" s="4" t="str">
        <f>"20228024127"</f>
        <v>20228024127</v>
      </c>
      <c r="B2485" s="4" t="str">
        <f t="shared" si="45"/>
        <v>20220103</v>
      </c>
      <c r="C2485" s="5">
        <v>78.59</v>
      </c>
      <c r="D2485" s="5">
        <v>101.6</v>
      </c>
      <c r="E2485" s="5">
        <v>92.4</v>
      </c>
    </row>
    <row r="2486" spans="1:5">
      <c r="A2486" s="4" t="str">
        <f>"20228024128"</f>
        <v>20228024128</v>
      </c>
      <c r="B2486" s="4" t="str">
        <f t="shared" si="45"/>
        <v>20220103</v>
      </c>
      <c r="C2486" s="5">
        <v>97.07</v>
      </c>
      <c r="D2486" s="5">
        <v>102.8</v>
      </c>
      <c r="E2486" s="5">
        <v>100.51</v>
      </c>
    </row>
    <row r="2487" spans="1:5">
      <c r="A2487" s="4" t="str">
        <f>"20228024129"</f>
        <v>20228024129</v>
      </c>
      <c r="B2487" s="4" t="str">
        <f t="shared" si="45"/>
        <v>20220103</v>
      </c>
      <c r="C2487" s="5">
        <v>77.6</v>
      </c>
      <c r="D2487" s="5">
        <v>97.6</v>
      </c>
      <c r="E2487" s="5">
        <v>89.6</v>
      </c>
    </row>
    <row r="2488" spans="1:5">
      <c r="A2488" s="4" t="str">
        <f>"20228024130"</f>
        <v>20228024130</v>
      </c>
      <c r="B2488" s="4" t="str">
        <f t="shared" si="45"/>
        <v>20220103</v>
      </c>
      <c r="C2488" s="5">
        <v>0</v>
      </c>
      <c r="D2488" s="5">
        <v>0</v>
      </c>
      <c r="E2488" s="5">
        <v>0</v>
      </c>
    </row>
    <row r="2489" spans="1:5">
      <c r="A2489" s="4" t="str">
        <f>"20228024201"</f>
        <v>20228024201</v>
      </c>
      <c r="B2489" s="4" t="str">
        <f t="shared" si="45"/>
        <v>20220103</v>
      </c>
      <c r="C2489" s="5">
        <v>92.84</v>
      </c>
      <c r="D2489" s="5">
        <v>108.1</v>
      </c>
      <c r="E2489" s="5">
        <v>102</v>
      </c>
    </row>
    <row r="2490" spans="1:5">
      <c r="A2490" s="4" t="str">
        <f>"20228024202"</f>
        <v>20228024202</v>
      </c>
      <c r="B2490" s="4" t="str">
        <f t="shared" si="45"/>
        <v>20220103</v>
      </c>
      <c r="C2490" s="5">
        <v>94.71</v>
      </c>
      <c r="D2490" s="5">
        <v>103.6</v>
      </c>
      <c r="E2490" s="5">
        <v>100.04</v>
      </c>
    </row>
    <row r="2491" spans="1:5">
      <c r="A2491" s="4" t="str">
        <f>"20228024203"</f>
        <v>20228024203</v>
      </c>
      <c r="B2491" s="4" t="str">
        <f t="shared" si="45"/>
        <v>20220103</v>
      </c>
      <c r="C2491" s="5">
        <v>0</v>
      </c>
      <c r="D2491" s="5">
        <v>0</v>
      </c>
      <c r="E2491" s="5">
        <v>0</v>
      </c>
    </row>
    <row r="2492" spans="1:5">
      <c r="A2492" s="4" t="str">
        <f>"20228024204"</f>
        <v>20228024204</v>
      </c>
      <c r="B2492" s="4" t="str">
        <f t="shared" si="45"/>
        <v>20220103</v>
      </c>
      <c r="C2492" s="5">
        <v>87.94</v>
      </c>
      <c r="D2492" s="5">
        <v>104.8</v>
      </c>
      <c r="E2492" s="5">
        <v>98.06</v>
      </c>
    </row>
    <row r="2493" spans="1:5">
      <c r="A2493" s="4" t="str">
        <f>"20228024205"</f>
        <v>20228024205</v>
      </c>
      <c r="B2493" s="4" t="str">
        <f t="shared" si="45"/>
        <v>20220103</v>
      </c>
      <c r="C2493" s="5">
        <v>97.5</v>
      </c>
      <c r="D2493" s="5">
        <v>101.7</v>
      </c>
      <c r="E2493" s="5">
        <v>100.02</v>
      </c>
    </row>
    <row r="2494" spans="1:5">
      <c r="A2494" s="4" t="str">
        <f>"20228024206"</f>
        <v>20228024206</v>
      </c>
      <c r="B2494" s="4" t="str">
        <f t="shared" si="45"/>
        <v>20220103</v>
      </c>
      <c r="C2494" s="5">
        <v>86.37</v>
      </c>
      <c r="D2494" s="5">
        <v>97.3</v>
      </c>
      <c r="E2494" s="5">
        <v>92.93</v>
      </c>
    </row>
    <row r="2495" spans="1:5">
      <c r="A2495" s="4" t="str">
        <f>"20228024207"</f>
        <v>20228024207</v>
      </c>
      <c r="B2495" s="4" t="str">
        <f t="shared" si="45"/>
        <v>20220103</v>
      </c>
      <c r="C2495" s="5">
        <v>0</v>
      </c>
      <c r="D2495" s="5">
        <v>0</v>
      </c>
      <c r="E2495" s="5">
        <v>0</v>
      </c>
    </row>
    <row r="2496" spans="1:5">
      <c r="A2496" s="4" t="str">
        <f>"20228024208"</f>
        <v>20228024208</v>
      </c>
      <c r="B2496" s="4" t="str">
        <f t="shared" si="45"/>
        <v>20220103</v>
      </c>
      <c r="C2496" s="5">
        <v>75.12</v>
      </c>
      <c r="D2496" s="5">
        <v>98</v>
      </c>
      <c r="E2496" s="5">
        <v>88.85</v>
      </c>
    </row>
    <row r="2497" spans="1:5">
      <c r="A2497" s="4" t="str">
        <f>"20228024209"</f>
        <v>20228024209</v>
      </c>
      <c r="B2497" s="4" t="str">
        <f t="shared" si="45"/>
        <v>20220103</v>
      </c>
      <c r="C2497" s="5">
        <v>0</v>
      </c>
      <c r="D2497" s="5">
        <v>0</v>
      </c>
      <c r="E2497" s="5">
        <v>0</v>
      </c>
    </row>
    <row r="2498" spans="1:5">
      <c r="A2498" s="4" t="str">
        <f>"20228024210"</f>
        <v>20228024210</v>
      </c>
      <c r="B2498" s="4" t="str">
        <f t="shared" si="45"/>
        <v>20220103</v>
      </c>
      <c r="C2498" s="5">
        <v>94.09</v>
      </c>
      <c r="D2498" s="5">
        <v>100.1</v>
      </c>
      <c r="E2498" s="5">
        <v>97.7</v>
      </c>
    </row>
    <row r="2499" spans="1:5">
      <c r="A2499" s="4" t="str">
        <f>"20228024211"</f>
        <v>20228024211</v>
      </c>
      <c r="B2499" s="4" t="str">
        <f t="shared" si="45"/>
        <v>20220103</v>
      </c>
      <c r="C2499" s="5">
        <v>77.32</v>
      </c>
      <c r="D2499" s="5">
        <v>107.6</v>
      </c>
      <c r="E2499" s="5">
        <v>95.49</v>
      </c>
    </row>
    <row r="2500" spans="1:5">
      <c r="A2500" s="4" t="str">
        <f>"20228024212"</f>
        <v>20228024212</v>
      </c>
      <c r="B2500" s="4" t="str">
        <f t="shared" si="45"/>
        <v>20220103</v>
      </c>
      <c r="C2500" s="5">
        <v>0</v>
      </c>
      <c r="D2500" s="5">
        <v>0</v>
      </c>
      <c r="E2500" s="5">
        <v>0</v>
      </c>
    </row>
    <row r="2501" spans="1:5">
      <c r="A2501" s="4" t="str">
        <f>"20228024213"</f>
        <v>20228024213</v>
      </c>
      <c r="B2501" s="4" t="str">
        <f t="shared" si="45"/>
        <v>20220103</v>
      </c>
      <c r="C2501" s="5">
        <v>100.3</v>
      </c>
      <c r="D2501" s="5">
        <v>99</v>
      </c>
      <c r="E2501" s="5">
        <v>99.52</v>
      </c>
    </row>
    <row r="2502" spans="1:5">
      <c r="A2502" s="4" t="str">
        <f>"20228024214"</f>
        <v>20228024214</v>
      </c>
      <c r="B2502" s="4" t="str">
        <f t="shared" si="45"/>
        <v>20220103</v>
      </c>
      <c r="C2502" s="5">
        <v>92.06</v>
      </c>
      <c r="D2502" s="5">
        <v>102.9</v>
      </c>
      <c r="E2502" s="5">
        <v>98.56</v>
      </c>
    </row>
    <row r="2503" spans="1:5">
      <c r="A2503" s="4" t="str">
        <f>"20228024215"</f>
        <v>20228024215</v>
      </c>
      <c r="B2503" s="4" t="str">
        <f t="shared" si="45"/>
        <v>20220103</v>
      </c>
      <c r="C2503" s="5">
        <v>90.83</v>
      </c>
      <c r="D2503" s="5">
        <v>106.6</v>
      </c>
      <c r="E2503" s="5">
        <v>100.29</v>
      </c>
    </row>
    <row r="2504" spans="1:5">
      <c r="A2504" s="4" t="str">
        <f>"20228024216"</f>
        <v>20228024216</v>
      </c>
      <c r="B2504" s="4" t="str">
        <f t="shared" si="45"/>
        <v>20220103</v>
      </c>
      <c r="C2504" s="5">
        <v>77.17</v>
      </c>
      <c r="D2504" s="5">
        <v>96.2</v>
      </c>
      <c r="E2504" s="5">
        <v>88.59</v>
      </c>
    </row>
    <row r="2505" spans="1:5">
      <c r="A2505" s="4" t="str">
        <f>"20228024217"</f>
        <v>20228024217</v>
      </c>
      <c r="B2505" s="4" t="str">
        <f t="shared" si="45"/>
        <v>20220103</v>
      </c>
      <c r="C2505" s="5">
        <v>0</v>
      </c>
      <c r="D2505" s="5">
        <v>0</v>
      </c>
      <c r="E2505" s="5">
        <v>0</v>
      </c>
    </row>
    <row r="2506" spans="1:5">
      <c r="A2506" s="4" t="str">
        <f>"20228024218"</f>
        <v>20228024218</v>
      </c>
      <c r="B2506" s="4" t="str">
        <f t="shared" si="45"/>
        <v>20220103</v>
      </c>
      <c r="C2506" s="5">
        <v>0</v>
      </c>
      <c r="D2506" s="5">
        <v>0</v>
      </c>
      <c r="E2506" s="5">
        <v>0</v>
      </c>
    </row>
    <row r="2507" spans="1:5">
      <c r="A2507" s="4" t="str">
        <f>"20228024219"</f>
        <v>20228024219</v>
      </c>
      <c r="B2507" s="4" t="str">
        <f t="shared" si="45"/>
        <v>20220103</v>
      </c>
      <c r="C2507" s="5">
        <v>92.36</v>
      </c>
      <c r="D2507" s="5">
        <v>104.3</v>
      </c>
      <c r="E2507" s="5">
        <v>99.52</v>
      </c>
    </row>
    <row r="2508" spans="1:5">
      <c r="A2508" s="4" t="str">
        <f>"20228024220"</f>
        <v>20228024220</v>
      </c>
      <c r="B2508" s="4" t="str">
        <f t="shared" si="45"/>
        <v>20220103</v>
      </c>
      <c r="C2508" s="5">
        <v>78.78</v>
      </c>
      <c r="D2508" s="5">
        <v>102.3</v>
      </c>
      <c r="E2508" s="5">
        <v>92.89</v>
      </c>
    </row>
    <row r="2509" spans="1:5">
      <c r="A2509" s="4" t="str">
        <f>"20228024221"</f>
        <v>20228024221</v>
      </c>
      <c r="B2509" s="4" t="str">
        <f t="shared" ref="B2509:B2572" si="46">"20220103"</f>
        <v>20220103</v>
      </c>
      <c r="C2509" s="5">
        <v>88.99</v>
      </c>
      <c r="D2509" s="5">
        <v>96.6</v>
      </c>
      <c r="E2509" s="5">
        <v>93.56</v>
      </c>
    </row>
    <row r="2510" spans="1:5">
      <c r="A2510" s="4" t="str">
        <f>"20228024222"</f>
        <v>20228024222</v>
      </c>
      <c r="B2510" s="4" t="str">
        <f t="shared" si="46"/>
        <v>20220103</v>
      </c>
      <c r="C2510" s="5">
        <v>0</v>
      </c>
      <c r="D2510" s="5">
        <v>0</v>
      </c>
      <c r="E2510" s="5">
        <v>0</v>
      </c>
    </row>
    <row r="2511" spans="1:5">
      <c r="A2511" s="4" t="str">
        <f>"20228024223"</f>
        <v>20228024223</v>
      </c>
      <c r="B2511" s="4" t="str">
        <f t="shared" si="46"/>
        <v>20220103</v>
      </c>
      <c r="C2511" s="5">
        <v>80.75</v>
      </c>
      <c r="D2511" s="5">
        <v>79.7</v>
      </c>
      <c r="E2511" s="5">
        <v>80.12</v>
      </c>
    </row>
    <row r="2512" spans="1:5">
      <c r="A2512" s="4" t="str">
        <f>"20228024224"</f>
        <v>20228024224</v>
      </c>
      <c r="B2512" s="4" t="str">
        <f t="shared" si="46"/>
        <v>20220103</v>
      </c>
      <c r="C2512" s="5">
        <v>84.53</v>
      </c>
      <c r="D2512" s="5">
        <v>95.1</v>
      </c>
      <c r="E2512" s="5">
        <v>90.87</v>
      </c>
    </row>
    <row r="2513" spans="1:5">
      <c r="A2513" s="4" t="str">
        <f>"20228024225"</f>
        <v>20228024225</v>
      </c>
      <c r="B2513" s="4" t="str">
        <f t="shared" si="46"/>
        <v>20220103</v>
      </c>
      <c r="C2513" s="5">
        <v>85.18</v>
      </c>
      <c r="D2513" s="5">
        <v>103.1</v>
      </c>
      <c r="E2513" s="5">
        <v>95.93</v>
      </c>
    </row>
    <row r="2514" spans="1:5">
      <c r="A2514" s="4" t="str">
        <f>"20228024226"</f>
        <v>20228024226</v>
      </c>
      <c r="B2514" s="4" t="str">
        <f t="shared" si="46"/>
        <v>20220103</v>
      </c>
      <c r="C2514" s="5">
        <v>83.33</v>
      </c>
      <c r="D2514" s="5">
        <v>99.9</v>
      </c>
      <c r="E2514" s="5">
        <v>93.27</v>
      </c>
    </row>
    <row r="2515" spans="1:5">
      <c r="A2515" s="4" t="str">
        <f>"20228024227"</f>
        <v>20228024227</v>
      </c>
      <c r="B2515" s="4" t="str">
        <f t="shared" si="46"/>
        <v>20220103</v>
      </c>
      <c r="C2515" s="5">
        <v>0</v>
      </c>
      <c r="D2515" s="5">
        <v>0</v>
      </c>
      <c r="E2515" s="5">
        <v>0</v>
      </c>
    </row>
    <row r="2516" spans="1:5">
      <c r="A2516" s="4" t="str">
        <f>"20228024228"</f>
        <v>20228024228</v>
      </c>
      <c r="B2516" s="4" t="str">
        <f t="shared" si="46"/>
        <v>20220103</v>
      </c>
      <c r="C2516" s="5">
        <v>0</v>
      </c>
      <c r="D2516" s="5">
        <v>0</v>
      </c>
      <c r="E2516" s="5">
        <v>0</v>
      </c>
    </row>
    <row r="2517" spans="1:5">
      <c r="A2517" s="4" t="str">
        <f>"20228024229"</f>
        <v>20228024229</v>
      </c>
      <c r="B2517" s="4" t="str">
        <f t="shared" si="46"/>
        <v>20220103</v>
      </c>
      <c r="C2517" s="5">
        <v>84.92</v>
      </c>
      <c r="D2517" s="5">
        <v>101.3</v>
      </c>
      <c r="E2517" s="5">
        <v>94.75</v>
      </c>
    </row>
    <row r="2518" spans="1:5">
      <c r="A2518" s="4" t="str">
        <f>"20228024230"</f>
        <v>20228024230</v>
      </c>
      <c r="B2518" s="4" t="str">
        <f t="shared" si="46"/>
        <v>20220103</v>
      </c>
      <c r="C2518" s="5">
        <v>95.53</v>
      </c>
      <c r="D2518" s="5">
        <v>98.9</v>
      </c>
      <c r="E2518" s="5">
        <v>97.55</v>
      </c>
    </row>
    <row r="2519" spans="1:5">
      <c r="A2519" s="4" t="str">
        <f>"20228024301"</f>
        <v>20228024301</v>
      </c>
      <c r="B2519" s="4" t="str">
        <f t="shared" si="46"/>
        <v>20220103</v>
      </c>
      <c r="C2519" s="5">
        <v>0</v>
      </c>
      <c r="D2519" s="5">
        <v>0</v>
      </c>
      <c r="E2519" s="5">
        <v>0</v>
      </c>
    </row>
    <row r="2520" spans="1:5">
      <c r="A2520" s="4" t="str">
        <f>"20228024302"</f>
        <v>20228024302</v>
      </c>
      <c r="B2520" s="4" t="str">
        <f t="shared" si="46"/>
        <v>20220103</v>
      </c>
      <c r="C2520" s="5">
        <v>0</v>
      </c>
      <c r="D2520" s="5">
        <v>0</v>
      </c>
      <c r="E2520" s="5">
        <v>0</v>
      </c>
    </row>
    <row r="2521" spans="1:5">
      <c r="A2521" s="4" t="str">
        <f>"20228024303"</f>
        <v>20228024303</v>
      </c>
      <c r="B2521" s="4" t="str">
        <f t="shared" si="46"/>
        <v>20220103</v>
      </c>
      <c r="C2521" s="5">
        <v>90.07</v>
      </c>
      <c r="D2521" s="5">
        <v>97.9</v>
      </c>
      <c r="E2521" s="5">
        <v>94.77</v>
      </c>
    </row>
    <row r="2522" spans="1:5">
      <c r="A2522" s="4" t="str">
        <f>"20228024304"</f>
        <v>20228024304</v>
      </c>
      <c r="B2522" s="4" t="str">
        <f t="shared" si="46"/>
        <v>20220103</v>
      </c>
      <c r="C2522" s="5">
        <v>84.5</v>
      </c>
      <c r="D2522" s="5">
        <v>102.2</v>
      </c>
      <c r="E2522" s="5">
        <v>95.12</v>
      </c>
    </row>
    <row r="2523" spans="1:5">
      <c r="A2523" s="4" t="str">
        <f>"20228024305"</f>
        <v>20228024305</v>
      </c>
      <c r="B2523" s="4" t="str">
        <f t="shared" si="46"/>
        <v>20220103</v>
      </c>
      <c r="C2523" s="5">
        <v>84.4</v>
      </c>
      <c r="D2523" s="5">
        <v>98.8</v>
      </c>
      <c r="E2523" s="5">
        <v>93.04</v>
      </c>
    </row>
    <row r="2524" spans="1:5">
      <c r="A2524" s="4" t="str">
        <f>"20228024306"</f>
        <v>20228024306</v>
      </c>
      <c r="B2524" s="4" t="str">
        <f t="shared" si="46"/>
        <v>20220103</v>
      </c>
      <c r="C2524" s="5">
        <v>83.74</v>
      </c>
      <c r="D2524" s="5">
        <v>102.3</v>
      </c>
      <c r="E2524" s="5">
        <v>94.88</v>
      </c>
    </row>
    <row r="2525" spans="1:5">
      <c r="A2525" s="4" t="str">
        <f>"20228024307"</f>
        <v>20228024307</v>
      </c>
      <c r="B2525" s="4" t="str">
        <f t="shared" si="46"/>
        <v>20220103</v>
      </c>
      <c r="C2525" s="5">
        <v>0</v>
      </c>
      <c r="D2525" s="5">
        <v>0</v>
      </c>
      <c r="E2525" s="5">
        <v>0</v>
      </c>
    </row>
    <row r="2526" spans="1:5">
      <c r="A2526" s="4" t="str">
        <f>"20228024308"</f>
        <v>20228024308</v>
      </c>
      <c r="B2526" s="4" t="str">
        <f t="shared" si="46"/>
        <v>20220103</v>
      </c>
      <c r="C2526" s="5">
        <v>97.98</v>
      </c>
      <c r="D2526" s="5">
        <v>109.6</v>
      </c>
      <c r="E2526" s="5">
        <v>104.95</v>
      </c>
    </row>
    <row r="2527" spans="1:5">
      <c r="A2527" s="4" t="str">
        <f>"20228024309"</f>
        <v>20228024309</v>
      </c>
      <c r="B2527" s="4" t="str">
        <f t="shared" si="46"/>
        <v>20220103</v>
      </c>
      <c r="C2527" s="5">
        <v>74.83</v>
      </c>
      <c r="D2527" s="5">
        <v>95.9</v>
      </c>
      <c r="E2527" s="5">
        <v>87.47</v>
      </c>
    </row>
    <row r="2528" spans="1:5">
      <c r="A2528" s="4" t="str">
        <f>"20228024310"</f>
        <v>20228024310</v>
      </c>
      <c r="B2528" s="4" t="str">
        <f t="shared" si="46"/>
        <v>20220103</v>
      </c>
      <c r="C2528" s="5">
        <v>72.03</v>
      </c>
      <c r="D2528" s="5">
        <v>97.7</v>
      </c>
      <c r="E2528" s="5">
        <v>87.43</v>
      </c>
    </row>
    <row r="2529" spans="1:5">
      <c r="A2529" s="4" t="str">
        <f>"20228024311"</f>
        <v>20228024311</v>
      </c>
      <c r="B2529" s="4" t="str">
        <f t="shared" si="46"/>
        <v>20220103</v>
      </c>
      <c r="C2529" s="5">
        <v>88.18</v>
      </c>
      <c r="D2529" s="5">
        <v>105.5</v>
      </c>
      <c r="E2529" s="5">
        <v>98.57</v>
      </c>
    </row>
    <row r="2530" spans="1:5">
      <c r="A2530" s="4" t="str">
        <f>"20228024312"</f>
        <v>20228024312</v>
      </c>
      <c r="B2530" s="4" t="str">
        <f t="shared" si="46"/>
        <v>20220103</v>
      </c>
      <c r="C2530" s="5">
        <v>0</v>
      </c>
      <c r="D2530" s="5">
        <v>0</v>
      </c>
      <c r="E2530" s="5">
        <v>0</v>
      </c>
    </row>
    <row r="2531" spans="1:5">
      <c r="A2531" s="4" t="str">
        <f>"20228024313"</f>
        <v>20228024313</v>
      </c>
      <c r="B2531" s="4" t="str">
        <f t="shared" si="46"/>
        <v>20220103</v>
      </c>
      <c r="C2531" s="5">
        <v>0</v>
      </c>
      <c r="D2531" s="5">
        <v>0</v>
      </c>
      <c r="E2531" s="5">
        <v>0</v>
      </c>
    </row>
    <row r="2532" spans="1:5">
      <c r="A2532" s="4" t="str">
        <f>"20228024314"</f>
        <v>20228024314</v>
      </c>
      <c r="B2532" s="4" t="str">
        <f t="shared" si="46"/>
        <v>20220103</v>
      </c>
      <c r="C2532" s="5">
        <v>0</v>
      </c>
      <c r="D2532" s="5">
        <v>0</v>
      </c>
      <c r="E2532" s="5">
        <v>0</v>
      </c>
    </row>
    <row r="2533" spans="1:5">
      <c r="A2533" s="4" t="str">
        <f>"20228024315"</f>
        <v>20228024315</v>
      </c>
      <c r="B2533" s="4" t="str">
        <f t="shared" si="46"/>
        <v>20220103</v>
      </c>
      <c r="C2533" s="5">
        <v>0</v>
      </c>
      <c r="D2533" s="5">
        <v>0</v>
      </c>
      <c r="E2533" s="5">
        <v>0</v>
      </c>
    </row>
    <row r="2534" spans="1:5">
      <c r="A2534" s="4" t="str">
        <f>"20228024316"</f>
        <v>20228024316</v>
      </c>
      <c r="B2534" s="4" t="str">
        <f t="shared" si="46"/>
        <v>20220103</v>
      </c>
      <c r="C2534" s="5">
        <v>77.79</v>
      </c>
      <c r="D2534" s="5">
        <v>98</v>
      </c>
      <c r="E2534" s="5">
        <v>89.92</v>
      </c>
    </row>
    <row r="2535" spans="1:5">
      <c r="A2535" s="4" t="str">
        <f>"20228024317"</f>
        <v>20228024317</v>
      </c>
      <c r="B2535" s="4" t="str">
        <f t="shared" si="46"/>
        <v>20220103</v>
      </c>
      <c r="C2535" s="5">
        <v>0</v>
      </c>
      <c r="D2535" s="5">
        <v>0</v>
      </c>
      <c r="E2535" s="5">
        <v>0</v>
      </c>
    </row>
    <row r="2536" spans="1:5">
      <c r="A2536" s="4" t="str">
        <f>"20228024318"</f>
        <v>20228024318</v>
      </c>
      <c r="B2536" s="4" t="str">
        <f t="shared" si="46"/>
        <v>20220103</v>
      </c>
      <c r="C2536" s="5">
        <v>86.44</v>
      </c>
      <c r="D2536" s="5">
        <v>104.3</v>
      </c>
      <c r="E2536" s="5">
        <v>97.16</v>
      </c>
    </row>
    <row r="2537" spans="1:5">
      <c r="A2537" s="4" t="str">
        <f>"20228024319"</f>
        <v>20228024319</v>
      </c>
      <c r="B2537" s="4" t="str">
        <f t="shared" si="46"/>
        <v>20220103</v>
      </c>
      <c r="C2537" s="5">
        <v>98.99</v>
      </c>
      <c r="D2537" s="5">
        <v>99.4</v>
      </c>
      <c r="E2537" s="5">
        <v>99.24</v>
      </c>
    </row>
    <row r="2538" spans="1:5">
      <c r="A2538" s="4" t="str">
        <f>"20228024320"</f>
        <v>20228024320</v>
      </c>
      <c r="B2538" s="4" t="str">
        <f t="shared" si="46"/>
        <v>20220103</v>
      </c>
      <c r="C2538" s="5">
        <v>0</v>
      </c>
      <c r="D2538" s="5">
        <v>0</v>
      </c>
      <c r="E2538" s="5">
        <v>0</v>
      </c>
    </row>
    <row r="2539" spans="1:5">
      <c r="A2539" s="4" t="str">
        <f>"20228024321"</f>
        <v>20228024321</v>
      </c>
      <c r="B2539" s="4" t="str">
        <f t="shared" si="46"/>
        <v>20220103</v>
      </c>
      <c r="C2539" s="5">
        <v>78.14</v>
      </c>
      <c r="D2539" s="5">
        <v>85</v>
      </c>
      <c r="E2539" s="5">
        <v>82.26</v>
      </c>
    </row>
    <row r="2540" spans="1:5">
      <c r="A2540" s="4" t="str">
        <f>"20228024322"</f>
        <v>20228024322</v>
      </c>
      <c r="B2540" s="4" t="str">
        <f t="shared" si="46"/>
        <v>20220103</v>
      </c>
      <c r="C2540" s="5">
        <v>80.52</v>
      </c>
      <c r="D2540" s="5">
        <v>104</v>
      </c>
      <c r="E2540" s="5">
        <v>94.61</v>
      </c>
    </row>
    <row r="2541" spans="1:5">
      <c r="A2541" s="4" t="str">
        <f>"20228024323"</f>
        <v>20228024323</v>
      </c>
      <c r="B2541" s="4" t="str">
        <f t="shared" si="46"/>
        <v>20220103</v>
      </c>
      <c r="C2541" s="5">
        <v>0</v>
      </c>
      <c r="D2541" s="5">
        <v>0</v>
      </c>
      <c r="E2541" s="5">
        <v>0</v>
      </c>
    </row>
    <row r="2542" spans="1:5">
      <c r="A2542" s="4" t="str">
        <f>"20228024324"</f>
        <v>20228024324</v>
      </c>
      <c r="B2542" s="4" t="str">
        <f t="shared" si="46"/>
        <v>20220103</v>
      </c>
      <c r="C2542" s="5">
        <v>0</v>
      </c>
      <c r="D2542" s="5">
        <v>0</v>
      </c>
      <c r="E2542" s="5">
        <v>0</v>
      </c>
    </row>
    <row r="2543" spans="1:5">
      <c r="A2543" s="4" t="str">
        <f>"20228024325"</f>
        <v>20228024325</v>
      </c>
      <c r="B2543" s="4" t="str">
        <f t="shared" si="46"/>
        <v>20220103</v>
      </c>
      <c r="C2543" s="5">
        <v>0</v>
      </c>
      <c r="D2543" s="5">
        <v>0</v>
      </c>
      <c r="E2543" s="5">
        <v>0</v>
      </c>
    </row>
    <row r="2544" spans="1:5">
      <c r="A2544" s="4" t="str">
        <f>"20228024326"</f>
        <v>20228024326</v>
      </c>
      <c r="B2544" s="4" t="str">
        <f t="shared" si="46"/>
        <v>20220103</v>
      </c>
      <c r="C2544" s="5">
        <v>0</v>
      </c>
      <c r="D2544" s="5">
        <v>0</v>
      </c>
      <c r="E2544" s="5">
        <v>0</v>
      </c>
    </row>
    <row r="2545" spans="1:5">
      <c r="A2545" s="4" t="str">
        <f>"20228024327"</f>
        <v>20228024327</v>
      </c>
      <c r="B2545" s="4" t="str">
        <f t="shared" si="46"/>
        <v>20220103</v>
      </c>
      <c r="C2545" s="5">
        <v>74.35</v>
      </c>
      <c r="D2545" s="5">
        <v>99.1</v>
      </c>
      <c r="E2545" s="5">
        <v>89.2</v>
      </c>
    </row>
    <row r="2546" spans="1:5">
      <c r="A2546" s="4" t="str">
        <f>"20228024328"</f>
        <v>20228024328</v>
      </c>
      <c r="B2546" s="4" t="str">
        <f t="shared" si="46"/>
        <v>20220103</v>
      </c>
      <c r="C2546" s="5">
        <v>97.38</v>
      </c>
      <c r="D2546" s="5">
        <v>105.6</v>
      </c>
      <c r="E2546" s="5">
        <v>102.31</v>
      </c>
    </row>
    <row r="2547" spans="1:5">
      <c r="A2547" s="4" t="str">
        <f>"20228024329"</f>
        <v>20228024329</v>
      </c>
      <c r="B2547" s="4" t="str">
        <f t="shared" si="46"/>
        <v>20220103</v>
      </c>
      <c r="C2547" s="5">
        <v>88.43</v>
      </c>
      <c r="D2547" s="5">
        <v>101.7</v>
      </c>
      <c r="E2547" s="5">
        <v>96.39</v>
      </c>
    </row>
    <row r="2548" spans="1:5">
      <c r="A2548" s="4" t="str">
        <f>"20228024330"</f>
        <v>20228024330</v>
      </c>
      <c r="B2548" s="4" t="str">
        <f t="shared" si="46"/>
        <v>20220103</v>
      </c>
      <c r="C2548" s="5">
        <v>72.44</v>
      </c>
      <c r="D2548" s="5">
        <v>102.4</v>
      </c>
      <c r="E2548" s="5">
        <v>90.42</v>
      </c>
    </row>
    <row r="2549" spans="1:5">
      <c r="A2549" s="4" t="str">
        <f>"20228024401"</f>
        <v>20228024401</v>
      </c>
      <c r="B2549" s="4" t="str">
        <f t="shared" si="46"/>
        <v>20220103</v>
      </c>
      <c r="C2549" s="5">
        <v>74.73</v>
      </c>
      <c r="D2549" s="5">
        <v>99.6</v>
      </c>
      <c r="E2549" s="5">
        <v>89.65</v>
      </c>
    </row>
    <row r="2550" spans="1:5">
      <c r="A2550" s="4" t="str">
        <f>"20228024402"</f>
        <v>20228024402</v>
      </c>
      <c r="B2550" s="4" t="str">
        <f t="shared" si="46"/>
        <v>20220103</v>
      </c>
      <c r="C2550" s="5">
        <v>83.33</v>
      </c>
      <c r="D2550" s="5">
        <v>92.9</v>
      </c>
      <c r="E2550" s="5">
        <v>89.07</v>
      </c>
    </row>
    <row r="2551" spans="1:5">
      <c r="A2551" s="4" t="str">
        <f>"20228024403"</f>
        <v>20228024403</v>
      </c>
      <c r="B2551" s="4" t="str">
        <f t="shared" si="46"/>
        <v>20220103</v>
      </c>
      <c r="C2551" s="5">
        <v>0</v>
      </c>
      <c r="D2551" s="5">
        <v>0</v>
      </c>
      <c r="E2551" s="5">
        <v>0</v>
      </c>
    </row>
    <row r="2552" spans="1:5">
      <c r="A2552" s="4" t="str">
        <f>"20228024404"</f>
        <v>20228024404</v>
      </c>
      <c r="B2552" s="4" t="str">
        <f t="shared" si="46"/>
        <v>20220103</v>
      </c>
      <c r="C2552" s="5">
        <v>0</v>
      </c>
      <c r="D2552" s="5">
        <v>0</v>
      </c>
      <c r="E2552" s="5">
        <v>0</v>
      </c>
    </row>
    <row r="2553" spans="1:5">
      <c r="A2553" s="4" t="str">
        <f>"20228024405"</f>
        <v>20228024405</v>
      </c>
      <c r="B2553" s="4" t="str">
        <f t="shared" si="46"/>
        <v>20220103</v>
      </c>
      <c r="C2553" s="5">
        <v>0</v>
      </c>
      <c r="D2553" s="5">
        <v>0</v>
      </c>
      <c r="E2553" s="5">
        <v>0</v>
      </c>
    </row>
    <row r="2554" spans="1:5">
      <c r="A2554" s="4" t="str">
        <f>"20228024406"</f>
        <v>20228024406</v>
      </c>
      <c r="B2554" s="4" t="str">
        <f t="shared" si="46"/>
        <v>20220103</v>
      </c>
      <c r="C2554" s="5">
        <v>76.66</v>
      </c>
      <c r="D2554" s="5">
        <v>99.9</v>
      </c>
      <c r="E2554" s="5">
        <v>90.6</v>
      </c>
    </row>
    <row r="2555" spans="1:5">
      <c r="A2555" s="4" t="str">
        <f>"20228024407"</f>
        <v>20228024407</v>
      </c>
      <c r="B2555" s="4" t="str">
        <f t="shared" si="46"/>
        <v>20220103</v>
      </c>
      <c r="C2555" s="5">
        <v>95.27</v>
      </c>
      <c r="D2555" s="5">
        <v>89.6</v>
      </c>
      <c r="E2555" s="5">
        <v>91.87</v>
      </c>
    </row>
    <row r="2556" spans="1:5">
      <c r="A2556" s="4" t="str">
        <f>"20228024408"</f>
        <v>20228024408</v>
      </c>
      <c r="B2556" s="4" t="str">
        <f t="shared" si="46"/>
        <v>20220103</v>
      </c>
      <c r="C2556" s="5">
        <v>89.47</v>
      </c>
      <c r="D2556" s="5">
        <v>101.4</v>
      </c>
      <c r="E2556" s="5">
        <v>96.63</v>
      </c>
    </row>
    <row r="2557" spans="1:5">
      <c r="A2557" s="4" t="str">
        <f>"20228024409"</f>
        <v>20228024409</v>
      </c>
      <c r="B2557" s="4" t="str">
        <f t="shared" si="46"/>
        <v>20220103</v>
      </c>
      <c r="C2557" s="5">
        <v>0</v>
      </c>
      <c r="D2557" s="5">
        <v>0</v>
      </c>
      <c r="E2557" s="5">
        <v>0</v>
      </c>
    </row>
    <row r="2558" spans="1:5">
      <c r="A2558" s="4" t="str">
        <f>"20228024410"</f>
        <v>20228024410</v>
      </c>
      <c r="B2558" s="4" t="str">
        <f t="shared" si="46"/>
        <v>20220103</v>
      </c>
      <c r="C2558" s="5">
        <v>0</v>
      </c>
      <c r="D2558" s="5">
        <v>0</v>
      </c>
      <c r="E2558" s="5">
        <v>0</v>
      </c>
    </row>
    <row r="2559" spans="1:5">
      <c r="A2559" s="4" t="str">
        <f>"20228024411"</f>
        <v>20228024411</v>
      </c>
      <c r="B2559" s="4" t="str">
        <f t="shared" si="46"/>
        <v>20220103</v>
      </c>
      <c r="C2559" s="5">
        <v>92.82</v>
      </c>
      <c r="D2559" s="5">
        <v>103.6</v>
      </c>
      <c r="E2559" s="5">
        <v>99.29</v>
      </c>
    </row>
    <row r="2560" spans="1:5">
      <c r="A2560" s="4" t="str">
        <f>"20228024412"</f>
        <v>20228024412</v>
      </c>
      <c r="B2560" s="4" t="str">
        <f t="shared" si="46"/>
        <v>20220103</v>
      </c>
      <c r="C2560" s="5">
        <v>0</v>
      </c>
      <c r="D2560" s="5">
        <v>0</v>
      </c>
      <c r="E2560" s="5">
        <v>0</v>
      </c>
    </row>
    <row r="2561" spans="1:5">
      <c r="A2561" s="4" t="str">
        <f>"20228024413"</f>
        <v>20228024413</v>
      </c>
      <c r="B2561" s="4" t="str">
        <f t="shared" si="46"/>
        <v>20220103</v>
      </c>
      <c r="C2561" s="5">
        <v>97.38</v>
      </c>
      <c r="D2561" s="5">
        <v>107.8</v>
      </c>
      <c r="E2561" s="5">
        <v>103.63</v>
      </c>
    </row>
    <row r="2562" spans="1:5">
      <c r="A2562" s="4" t="str">
        <f>"20228024414"</f>
        <v>20228024414</v>
      </c>
      <c r="B2562" s="4" t="str">
        <f t="shared" si="46"/>
        <v>20220103</v>
      </c>
      <c r="C2562" s="5">
        <v>0</v>
      </c>
      <c r="D2562" s="5">
        <v>0</v>
      </c>
      <c r="E2562" s="5">
        <v>0</v>
      </c>
    </row>
    <row r="2563" spans="1:5">
      <c r="A2563" s="4" t="str">
        <f>"20228024415"</f>
        <v>20228024415</v>
      </c>
      <c r="B2563" s="4" t="str">
        <f t="shared" si="46"/>
        <v>20220103</v>
      </c>
      <c r="C2563" s="5">
        <v>81.88</v>
      </c>
      <c r="D2563" s="5">
        <v>104.2</v>
      </c>
      <c r="E2563" s="5">
        <v>95.27</v>
      </c>
    </row>
    <row r="2564" spans="1:5">
      <c r="A2564" s="4" t="str">
        <f>"20228024416"</f>
        <v>20228024416</v>
      </c>
      <c r="B2564" s="4" t="str">
        <f t="shared" si="46"/>
        <v>20220103</v>
      </c>
      <c r="C2564" s="5">
        <v>70.08</v>
      </c>
      <c r="D2564" s="5">
        <v>101</v>
      </c>
      <c r="E2564" s="5">
        <v>88.63</v>
      </c>
    </row>
    <row r="2565" spans="1:5">
      <c r="A2565" s="4" t="str">
        <f>"20228024417"</f>
        <v>20228024417</v>
      </c>
      <c r="B2565" s="4" t="str">
        <f t="shared" si="46"/>
        <v>20220103</v>
      </c>
      <c r="C2565" s="5">
        <v>0</v>
      </c>
      <c r="D2565" s="5">
        <v>0</v>
      </c>
      <c r="E2565" s="5">
        <v>0</v>
      </c>
    </row>
    <row r="2566" spans="1:5">
      <c r="A2566" s="4" t="str">
        <f>"20228024418"</f>
        <v>20228024418</v>
      </c>
      <c r="B2566" s="4" t="str">
        <f t="shared" si="46"/>
        <v>20220103</v>
      </c>
      <c r="C2566" s="5">
        <v>88.15</v>
      </c>
      <c r="D2566" s="5">
        <v>101.4</v>
      </c>
      <c r="E2566" s="5">
        <v>96.1</v>
      </c>
    </row>
    <row r="2567" spans="1:5">
      <c r="A2567" s="4" t="str">
        <f>"20228024419"</f>
        <v>20228024419</v>
      </c>
      <c r="B2567" s="4" t="str">
        <f t="shared" si="46"/>
        <v>20220103</v>
      </c>
      <c r="C2567" s="5">
        <v>82.93</v>
      </c>
      <c r="D2567" s="5">
        <v>108.4</v>
      </c>
      <c r="E2567" s="5">
        <v>98.21</v>
      </c>
    </row>
    <row r="2568" spans="1:5">
      <c r="A2568" s="4" t="str">
        <f>"20228024420"</f>
        <v>20228024420</v>
      </c>
      <c r="B2568" s="4" t="str">
        <f t="shared" si="46"/>
        <v>20220103</v>
      </c>
      <c r="C2568" s="5">
        <v>0</v>
      </c>
      <c r="D2568" s="5">
        <v>0</v>
      </c>
      <c r="E2568" s="5">
        <v>0</v>
      </c>
    </row>
    <row r="2569" spans="1:5">
      <c r="A2569" s="4" t="str">
        <f>"20228024421"</f>
        <v>20228024421</v>
      </c>
      <c r="B2569" s="4" t="str">
        <f t="shared" si="46"/>
        <v>20220103</v>
      </c>
      <c r="C2569" s="5">
        <v>77.87</v>
      </c>
      <c r="D2569" s="5">
        <v>84.2</v>
      </c>
      <c r="E2569" s="5">
        <v>81.67</v>
      </c>
    </row>
    <row r="2570" spans="1:5">
      <c r="A2570" s="4" t="str">
        <f>"20228024422"</f>
        <v>20228024422</v>
      </c>
      <c r="B2570" s="4" t="str">
        <f t="shared" si="46"/>
        <v>20220103</v>
      </c>
      <c r="C2570" s="5">
        <v>100.02</v>
      </c>
      <c r="D2570" s="5">
        <v>88.9</v>
      </c>
      <c r="E2570" s="5">
        <v>93.35</v>
      </c>
    </row>
    <row r="2571" spans="1:5">
      <c r="A2571" s="4" t="str">
        <f>"20228024423"</f>
        <v>20228024423</v>
      </c>
      <c r="B2571" s="4" t="str">
        <f t="shared" si="46"/>
        <v>20220103</v>
      </c>
      <c r="C2571" s="5">
        <v>84.69</v>
      </c>
      <c r="D2571" s="5">
        <v>103.3</v>
      </c>
      <c r="E2571" s="5">
        <v>95.86</v>
      </c>
    </row>
    <row r="2572" spans="1:5">
      <c r="A2572" s="4" t="str">
        <f>"20228024424"</f>
        <v>20228024424</v>
      </c>
      <c r="B2572" s="4" t="str">
        <f t="shared" si="46"/>
        <v>20220103</v>
      </c>
      <c r="C2572" s="5">
        <v>76.45</v>
      </c>
      <c r="D2572" s="5">
        <v>102.4</v>
      </c>
      <c r="E2572" s="5">
        <v>92.02</v>
      </c>
    </row>
    <row r="2573" spans="1:5">
      <c r="A2573" s="4" t="str">
        <f>"20228024425"</f>
        <v>20228024425</v>
      </c>
      <c r="B2573" s="4" t="str">
        <f t="shared" ref="B2573:B2621" si="47">"20220103"</f>
        <v>20220103</v>
      </c>
      <c r="C2573" s="5">
        <v>0</v>
      </c>
      <c r="D2573" s="5">
        <v>0</v>
      </c>
      <c r="E2573" s="5">
        <v>0</v>
      </c>
    </row>
    <row r="2574" spans="1:5">
      <c r="A2574" s="4" t="str">
        <f>"20228024426"</f>
        <v>20228024426</v>
      </c>
      <c r="B2574" s="4" t="str">
        <f t="shared" si="47"/>
        <v>20220103</v>
      </c>
      <c r="C2574" s="5">
        <v>0</v>
      </c>
      <c r="D2574" s="5">
        <v>0</v>
      </c>
      <c r="E2574" s="5">
        <v>0</v>
      </c>
    </row>
    <row r="2575" spans="1:5">
      <c r="A2575" s="4" t="str">
        <f>"20228024427"</f>
        <v>20228024427</v>
      </c>
      <c r="B2575" s="4" t="str">
        <f t="shared" si="47"/>
        <v>20220103</v>
      </c>
      <c r="C2575" s="5">
        <v>83.57</v>
      </c>
      <c r="D2575" s="5">
        <v>102.1</v>
      </c>
      <c r="E2575" s="5">
        <v>94.69</v>
      </c>
    </row>
    <row r="2576" spans="1:5">
      <c r="A2576" s="4" t="str">
        <f>"20228024428"</f>
        <v>20228024428</v>
      </c>
      <c r="B2576" s="4" t="str">
        <f t="shared" si="47"/>
        <v>20220103</v>
      </c>
      <c r="C2576" s="5">
        <v>87.66</v>
      </c>
      <c r="D2576" s="5">
        <v>96.4</v>
      </c>
      <c r="E2576" s="5">
        <v>92.9</v>
      </c>
    </row>
    <row r="2577" spans="1:5">
      <c r="A2577" s="4" t="str">
        <f>"20228024429"</f>
        <v>20228024429</v>
      </c>
      <c r="B2577" s="4" t="str">
        <f t="shared" si="47"/>
        <v>20220103</v>
      </c>
      <c r="C2577" s="5">
        <v>0</v>
      </c>
      <c r="D2577" s="5">
        <v>0</v>
      </c>
      <c r="E2577" s="5">
        <v>0</v>
      </c>
    </row>
    <row r="2578" spans="1:5">
      <c r="A2578" s="4" t="str">
        <f>"20228024430"</f>
        <v>20228024430</v>
      </c>
      <c r="B2578" s="4" t="str">
        <f t="shared" si="47"/>
        <v>20220103</v>
      </c>
      <c r="C2578" s="5">
        <v>0</v>
      </c>
      <c r="D2578" s="5">
        <v>0</v>
      </c>
      <c r="E2578" s="5">
        <v>0</v>
      </c>
    </row>
    <row r="2579" spans="1:5">
      <c r="A2579" s="4" t="str">
        <f>"20228024501"</f>
        <v>20228024501</v>
      </c>
      <c r="B2579" s="4" t="str">
        <f t="shared" si="47"/>
        <v>20220103</v>
      </c>
      <c r="C2579" s="5">
        <v>98.98</v>
      </c>
      <c r="D2579" s="5">
        <v>108.7</v>
      </c>
      <c r="E2579" s="5">
        <v>104.81</v>
      </c>
    </row>
    <row r="2580" spans="1:5">
      <c r="A2580" s="4" t="str">
        <f>"20228024502"</f>
        <v>20228024502</v>
      </c>
      <c r="B2580" s="4" t="str">
        <f t="shared" si="47"/>
        <v>20220103</v>
      </c>
      <c r="C2580" s="5">
        <v>0</v>
      </c>
      <c r="D2580" s="5">
        <v>0</v>
      </c>
      <c r="E2580" s="5">
        <v>0</v>
      </c>
    </row>
    <row r="2581" spans="1:5">
      <c r="A2581" s="4" t="str">
        <f>"20228024503"</f>
        <v>20228024503</v>
      </c>
      <c r="B2581" s="4" t="str">
        <f t="shared" si="47"/>
        <v>20220103</v>
      </c>
      <c r="C2581" s="5">
        <v>88.52</v>
      </c>
      <c r="D2581" s="5">
        <v>104.3</v>
      </c>
      <c r="E2581" s="5">
        <v>97.99</v>
      </c>
    </row>
    <row r="2582" spans="1:5">
      <c r="A2582" s="4" t="str">
        <f>"20228024504"</f>
        <v>20228024504</v>
      </c>
      <c r="B2582" s="4" t="str">
        <f t="shared" si="47"/>
        <v>20220103</v>
      </c>
      <c r="C2582" s="5">
        <v>0</v>
      </c>
      <c r="D2582" s="5">
        <v>0</v>
      </c>
      <c r="E2582" s="5">
        <v>0</v>
      </c>
    </row>
    <row r="2583" spans="1:5">
      <c r="A2583" s="4" t="str">
        <f>"20228024505"</f>
        <v>20228024505</v>
      </c>
      <c r="B2583" s="4" t="str">
        <f t="shared" si="47"/>
        <v>20220103</v>
      </c>
      <c r="C2583" s="5">
        <v>93.93</v>
      </c>
      <c r="D2583" s="5">
        <v>103.9</v>
      </c>
      <c r="E2583" s="5">
        <v>99.91</v>
      </c>
    </row>
    <row r="2584" spans="1:5">
      <c r="A2584" s="4" t="str">
        <f>"20228024506"</f>
        <v>20228024506</v>
      </c>
      <c r="B2584" s="4" t="str">
        <f t="shared" si="47"/>
        <v>20220103</v>
      </c>
      <c r="C2584" s="5">
        <v>81.52</v>
      </c>
      <c r="D2584" s="5">
        <v>93.2</v>
      </c>
      <c r="E2584" s="5">
        <v>88.53</v>
      </c>
    </row>
    <row r="2585" spans="1:5">
      <c r="A2585" s="4" t="str">
        <f>"20228024507"</f>
        <v>20228024507</v>
      </c>
      <c r="B2585" s="4" t="str">
        <f t="shared" si="47"/>
        <v>20220103</v>
      </c>
      <c r="C2585" s="5">
        <v>86</v>
      </c>
      <c r="D2585" s="5">
        <v>103.9</v>
      </c>
      <c r="E2585" s="5">
        <v>96.74</v>
      </c>
    </row>
    <row r="2586" spans="1:5">
      <c r="A2586" s="4" t="str">
        <f>"20228024508"</f>
        <v>20228024508</v>
      </c>
      <c r="B2586" s="4" t="str">
        <f t="shared" si="47"/>
        <v>20220103</v>
      </c>
      <c r="C2586" s="5">
        <v>83.96</v>
      </c>
      <c r="D2586" s="5">
        <v>101.1</v>
      </c>
      <c r="E2586" s="5">
        <v>94.24</v>
      </c>
    </row>
    <row r="2587" spans="1:5">
      <c r="A2587" s="4" t="str">
        <f>"20228024509"</f>
        <v>20228024509</v>
      </c>
      <c r="B2587" s="4" t="str">
        <f t="shared" si="47"/>
        <v>20220103</v>
      </c>
      <c r="C2587" s="5">
        <v>0</v>
      </c>
      <c r="D2587" s="5">
        <v>0</v>
      </c>
      <c r="E2587" s="5">
        <v>0</v>
      </c>
    </row>
    <row r="2588" spans="1:5">
      <c r="A2588" s="4" t="str">
        <f>"20228024510"</f>
        <v>20228024510</v>
      </c>
      <c r="B2588" s="4" t="str">
        <f t="shared" si="47"/>
        <v>20220103</v>
      </c>
      <c r="C2588" s="5">
        <v>73.12</v>
      </c>
      <c r="D2588" s="5">
        <v>84.7</v>
      </c>
      <c r="E2588" s="5">
        <v>80.07</v>
      </c>
    </row>
    <row r="2589" spans="1:5">
      <c r="A2589" s="4" t="str">
        <f>"20228024511"</f>
        <v>20228024511</v>
      </c>
      <c r="B2589" s="4" t="str">
        <f t="shared" si="47"/>
        <v>20220103</v>
      </c>
      <c r="C2589" s="5">
        <v>0</v>
      </c>
      <c r="D2589" s="5">
        <v>0</v>
      </c>
      <c r="E2589" s="5">
        <v>0</v>
      </c>
    </row>
    <row r="2590" spans="1:5">
      <c r="A2590" s="4" t="str">
        <f>"20228024512"</f>
        <v>20228024512</v>
      </c>
      <c r="B2590" s="4" t="str">
        <f t="shared" si="47"/>
        <v>20220103</v>
      </c>
      <c r="C2590" s="5">
        <v>77.02</v>
      </c>
      <c r="D2590" s="5">
        <v>99.1</v>
      </c>
      <c r="E2590" s="5">
        <v>90.27</v>
      </c>
    </row>
    <row r="2591" spans="1:5">
      <c r="A2591" s="4" t="str">
        <f>"20228024513"</f>
        <v>20228024513</v>
      </c>
      <c r="B2591" s="4" t="str">
        <f t="shared" si="47"/>
        <v>20220103</v>
      </c>
      <c r="C2591" s="5">
        <v>100.02</v>
      </c>
      <c r="D2591" s="5">
        <v>106</v>
      </c>
      <c r="E2591" s="5">
        <v>103.61</v>
      </c>
    </row>
    <row r="2592" spans="1:5">
      <c r="A2592" s="4" t="str">
        <f>"20228024514"</f>
        <v>20228024514</v>
      </c>
      <c r="B2592" s="4" t="str">
        <f t="shared" si="47"/>
        <v>20220103</v>
      </c>
      <c r="C2592" s="5">
        <v>86.48</v>
      </c>
      <c r="D2592" s="5">
        <v>98.1</v>
      </c>
      <c r="E2592" s="5">
        <v>93.45</v>
      </c>
    </row>
    <row r="2593" spans="1:5">
      <c r="A2593" s="4" t="str">
        <f>"20228024515"</f>
        <v>20228024515</v>
      </c>
      <c r="B2593" s="4" t="str">
        <f t="shared" si="47"/>
        <v>20220103</v>
      </c>
      <c r="C2593" s="5">
        <v>82.51</v>
      </c>
      <c r="D2593" s="5">
        <v>100.5</v>
      </c>
      <c r="E2593" s="5">
        <v>93.3</v>
      </c>
    </row>
    <row r="2594" spans="1:5">
      <c r="A2594" s="4" t="str">
        <f>"20228024516"</f>
        <v>20228024516</v>
      </c>
      <c r="B2594" s="4" t="str">
        <f t="shared" si="47"/>
        <v>20220103</v>
      </c>
      <c r="C2594" s="5">
        <v>0</v>
      </c>
      <c r="D2594" s="5">
        <v>0</v>
      </c>
      <c r="E2594" s="5">
        <v>0</v>
      </c>
    </row>
    <row r="2595" spans="1:5">
      <c r="A2595" s="4" t="str">
        <f>"20228024517"</f>
        <v>20228024517</v>
      </c>
      <c r="B2595" s="4" t="str">
        <f t="shared" si="47"/>
        <v>20220103</v>
      </c>
      <c r="C2595" s="5">
        <v>83.37</v>
      </c>
      <c r="D2595" s="5">
        <v>101.1</v>
      </c>
      <c r="E2595" s="5">
        <v>94.01</v>
      </c>
    </row>
    <row r="2596" spans="1:5">
      <c r="A2596" s="4" t="str">
        <f>"20228024518"</f>
        <v>20228024518</v>
      </c>
      <c r="B2596" s="4" t="str">
        <f t="shared" si="47"/>
        <v>20220103</v>
      </c>
      <c r="C2596" s="5">
        <v>0</v>
      </c>
      <c r="D2596" s="5">
        <v>0</v>
      </c>
      <c r="E2596" s="5">
        <v>0</v>
      </c>
    </row>
    <row r="2597" spans="1:5">
      <c r="A2597" s="4" t="str">
        <f>"20228024519"</f>
        <v>20228024519</v>
      </c>
      <c r="B2597" s="4" t="str">
        <f t="shared" si="47"/>
        <v>20220103</v>
      </c>
      <c r="C2597" s="5">
        <v>0</v>
      </c>
      <c r="D2597" s="5">
        <v>0</v>
      </c>
      <c r="E2597" s="5">
        <v>0</v>
      </c>
    </row>
    <row r="2598" spans="1:5">
      <c r="A2598" s="4" t="str">
        <f>"20228024520"</f>
        <v>20228024520</v>
      </c>
      <c r="B2598" s="4" t="str">
        <f t="shared" si="47"/>
        <v>20220103</v>
      </c>
      <c r="C2598" s="5">
        <v>0</v>
      </c>
      <c r="D2598" s="5">
        <v>0</v>
      </c>
      <c r="E2598" s="5">
        <v>0</v>
      </c>
    </row>
    <row r="2599" spans="1:5">
      <c r="A2599" s="4" t="str">
        <f>"20228024521"</f>
        <v>20228024521</v>
      </c>
      <c r="B2599" s="4" t="str">
        <f t="shared" si="47"/>
        <v>20220103</v>
      </c>
      <c r="C2599" s="5">
        <v>93.8</v>
      </c>
      <c r="D2599" s="5">
        <v>98.1</v>
      </c>
      <c r="E2599" s="5">
        <v>96.38</v>
      </c>
    </row>
    <row r="2600" spans="1:5">
      <c r="A2600" s="4" t="str">
        <f>"20228024522"</f>
        <v>20228024522</v>
      </c>
      <c r="B2600" s="4" t="str">
        <f t="shared" si="47"/>
        <v>20220103</v>
      </c>
      <c r="C2600" s="5">
        <v>77.68</v>
      </c>
      <c r="D2600" s="5">
        <v>97.6</v>
      </c>
      <c r="E2600" s="5">
        <v>89.63</v>
      </c>
    </row>
    <row r="2601" spans="1:5">
      <c r="A2601" s="4" t="str">
        <f>"20228024523"</f>
        <v>20228024523</v>
      </c>
      <c r="B2601" s="4" t="str">
        <f t="shared" si="47"/>
        <v>20220103</v>
      </c>
      <c r="C2601" s="5">
        <v>0</v>
      </c>
      <c r="D2601" s="5">
        <v>0</v>
      </c>
      <c r="E2601" s="5">
        <v>0</v>
      </c>
    </row>
    <row r="2602" spans="1:5">
      <c r="A2602" s="4" t="str">
        <f>"20228024524"</f>
        <v>20228024524</v>
      </c>
      <c r="B2602" s="4" t="str">
        <f t="shared" si="47"/>
        <v>20220103</v>
      </c>
      <c r="C2602" s="5">
        <v>89.53</v>
      </c>
      <c r="D2602" s="5">
        <v>102.8</v>
      </c>
      <c r="E2602" s="5">
        <v>97.49</v>
      </c>
    </row>
    <row r="2603" spans="1:5">
      <c r="A2603" s="4" t="str">
        <f>"20228024525"</f>
        <v>20228024525</v>
      </c>
      <c r="B2603" s="4" t="str">
        <f t="shared" si="47"/>
        <v>20220103</v>
      </c>
      <c r="C2603" s="5">
        <v>0</v>
      </c>
      <c r="D2603" s="5">
        <v>0</v>
      </c>
      <c r="E2603" s="5">
        <v>0</v>
      </c>
    </row>
    <row r="2604" spans="1:5">
      <c r="A2604" s="4" t="str">
        <f>"20228024526"</f>
        <v>20228024526</v>
      </c>
      <c r="B2604" s="4" t="str">
        <f t="shared" si="47"/>
        <v>20220103</v>
      </c>
      <c r="C2604" s="5">
        <v>94.51</v>
      </c>
      <c r="D2604" s="5">
        <v>95.5</v>
      </c>
      <c r="E2604" s="5">
        <v>95.1</v>
      </c>
    </row>
    <row r="2605" spans="1:5">
      <c r="A2605" s="4" t="str">
        <f>"20228024527"</f>
        <v>20228024527</v>
      </c>
      <c r="B2605" s="4" t="str">
        <f t="shared" si="47"/>
        <v>20220103</v>
      </c>
      <c r="C2605" s="5">
        <v>0</v>
      </c>
      <c r="D2605" s="5">
        <v>0</v>
      </c>
      <c r="E2605" s="5">
        <v>0</v>
      </c>
    </row>
    <row r="2606" spans="1:5">
      <c r="A2606" s="4" t="str">
        <f>"20228024528"</f>
        <v>20228024528</v>
      </c>
      <c r="B2606" s="4" t="str">
        <f t="shared" si="47"/>
        <v>20220103</v>
      </c>
      <c r="C2606" s="5">
        <v>0</v>
      </c>
      <c r="D2606" s="5">
        <v>0</v>
      </c>
      <c r="E2606" s="5">
        <v>0</v>
      </c>
    </row>
    <row r="2607" spans="1:5">
      <c r="A2607" s="4" t="str">
        <f>"20228024529"</f>
        <v>20228024529</v>
      </c>
      <c r="B2607" s="4" t="str">
        <f t="shared" si="47"/>
        <v>20220103</v>
      </c>
      <c r="C2607" s="5">
        <v>82.74</v>
      </c>
      <c r="D2607" s="5">
        <v>76.2</v>
      </c>
      <c r="E2607" s="5">
        <v>78.82</v>
      </c>
    </row>
    <row r="2608" spans="1:5">
      <c r="A2608" s="4" t="str">
        <f>"20228024530"</f>
        <v>20228024530</v>
      </c>
      <c r="B2608" s="4" t="str">
        <f t="shared" si="47"/>
        <v>20220103</v>
      </c>
      <c r="C2608" s="5">
        <v>85.31</v>
      </c>
      <c r="D2608" s="5">
        <v>104.4</v>
      </c>
      <c r="E2608" s="5">
        <v>96.76</v>
      </c>
    </row>
    <row r="2609" spans="1:5">
      <c r="A2609" s="4" t="str">
        <f>"20228024601"</f>
        <v>20228024601</v>
      </c>
      <c r="B2609" s="4" t="str">
        <f t="shared" si="47"/>
        <v>20220103</v>
      </c>
      <c r="C2609" s="5">
        <v>81.36</v>
      </c>
      <c r="D2609" s="5">
        <v>90.3</v>
      </c>
      <c r="E2609" s="5">
        <v>86.72</v>
      </c>
    </row>
    <row r="2610" spans="1:5">
      <c r="A2610" s="4" t="str">
        <f>"20228024602"</f>
        <v>20228024602</v>
      </c>
      <c r="B2610" s="4" t="str">
        <f t="shared" si="47"/>
        <v>20220103</v>
      </c>
      <c r="C2610" s="5">
        <v>0</v>
      </c>
      <c r="D2610" s="5">
        <v>0</v>
      </c>
      <c r="E2610" s="5">
        <v>0</v>
      </c>
    </row>
    <row r="2611" spans="1:5">
      <c r="A2611" s="4" t="str">
        <f>"20228024603"</f>
        <v>20228024603</v>
      </c>
      <c r="B2611" s="4" t="str">
        <f t="shared" si="47"/>
        <v>20220103</v>
      </c>
      <c r="C2611" s="5">
        <v>82.16</v>
      </c>
      <c r="D2611" s="5">
        <v>99.6</v>
      </c>
      <c r="E2611" s="5">
        <v>92.62</v>
      </c>
    </row>
    <row r="2612" spans="1:5">
      <c r="A2612" s="4" t="str">
        <f>"20228024604"</f>
        <v>20228024604</v>
      </c>
      <c r="B2612" s="4" t="str">
        <f t="shared" si="47"/>
        <v>20220103</v>
      </c>
      <c r="C2612" s="5">
        <v>80.11</v>
      </c>
      <c r="D2612" s="5">
        <v>100</v>
      </c>
      <c r="E2612" s="5">
        <v>92.04</v>
      </c>
    </row>
    <row r="2613" spans="1:5">
      <c r="A2613" s="4" t="str">
        <f>"20228024605"</f>
        <v>20228024605</v>
      </c>
      <c r="B2613" s="4" t="str">
        <f t="shared" si="47"/>
        <v>20220103</v>
      </c>
      <c r="C2613" s="5">
        <v>0</v>
      </c>
      <c r="D2613" s="5">
        <v>0</v>
      </c>
      <c r="E2613" s="5">
        <v>0</v>
      </c>
    </row>
    <row r="2614" spans="1:5">
      <c r="A2614" s="4" t="str">
        <f>"20228024606"</f>
        <v>20228024606</v>
      </c>
      <c r="B2614" s="4" t="str">
        <f t="shared" si="47"/>
        <v>20220103</v>
      </c>
      <c r="C2614" s="5">
        <v>88.41</v>
      </c>
      <c r="D2614" s="5">
        <v>98</v>
      </c>
      <c r="E2614" s="5">
        <v>94.16</v>
      </c>
    </row>
    <row r="2615" spans="1:5">
      <c r="A2615" s="4" t="str">
        <f>"20228024607"</f>
        <v>20228024607</v>
      </c>
      <c r="B2615" s="4" t="str">
        <f t="shared" si="47"/>
        <v>20220103</v>
      </c>
      <c r="C2615" s="5">
        <v>80.72</v>
      </c>
      <c r="D2615" s="5">
        <v>100.1</v>
      </c>
      <c r="E2615" s="5">
        <v>92.35</v>
      </c>
    </row>
    <row r="2616" spans="1:5">
      <c r="A2616" s="4" t="str">
        <f>"20228024608"</f>
        <v>20228024608</v>
      </c>
      <c r="B2616" s="4" t="str">
        <f t="shared" si="47"/>
        <v>20220103</v>
      </c>
      <c r="C2616" s="5">
        <v>70.7</v>
      </c>
      <c r="D2616" s="5">
        <v>102.5</v>
      </c>
      <c r="E2616" s="5">
        <v>89.78</v>
      </c>
    </row>
    <row r="2617" spans="1:5">
      <c r="A2617" s="4" t="str">
        <f>"20228024609"</f>
        <v>20228024609</v>
      </c>
      <c r="B2617" s="4" t="str">
        <f t="shared" si="47"/>
        <v>20220103</v>
      </c>
      <c r="C2617" s="5">
        <v>83.13</v>
      </c>
      <c r="D2617" s="5">
        <v>103.1</v>
      </c>
      <c r="E2617" s="5">
        <v>95.11</v>
      </c>
    </row>
    <row r="2618" spans="1:5">
      <c r="A2618" s="4" t="str">
        <f>"20228024610"</f>
        <v>20228024610</v>
      </c>
      <c r="B2618" s="4" t="str">
        <f t="shared" si="47"/>
        <v>20220103</v>
      </c>
      <c r="C2618" s="5">
        <v>0</v>
      </c>
      <c r="D2618" s="5">
        <v>0</v>
      </c>
      <c r="E2618" s="5">
        <v>0</v>
      </c>
    </row>
    <row r="2619" spans="1:5">
      <c r="A2619" s="4" t="str">
        <f>"20228024611"</f>
        <v>20228024611</v>
      </c>
      <c r="B2619" s="4" t="str">
        <f t="shared" si="47"/>
        <v>20220103</v>
      </c>
      <c r="C2619" s="5">
        <v>0</v>
      </c>
      <c r="D2619" s="5">
        <v>0</v>
      </c>
      <c r="E2619" s="5">
        <v>0</v>
      </c>
    </row>
    <row r="2620" spans="1:5">
      <c r="A2620" s="4" t="str">
        <f>"20228024612"</f>
        <v>20228024612</v>
      </c>
      <c r="B2620" s="4" t="str">
        <f t="shared" si="47"/>
        <v>20220103</v>
      </c>
      <c r="C2620" s="5">
        <v>84.86</v>
      </c>
      <c r="D2620" s="5">
        <v>105.7</v>
      </c>
      <c r="E2620" s="5">
        <v>97.36</v>
      </c>
    </row>
    <row r="2621" spans="1:5">
      <c r="A2621" s="4" t="str">
        <f>"20228024613"</f>
        <v>20228024613</v>
      </c>
      <c r="B2621" s="4" t="str">
        <f t="shared" si="47"/>
        <v>20220103</v>
      </c>
      <c r="C2621" s="5">
        <v>93.05</v>
      </c>
      <c r="D2621" s="5">
        <v>108.5</v>
      </c>
      <c r="E2621" s="5">
        <v>102.32</v>
      </c>
    </row>
    <row r="2622" spans="1:5">
      <c r="A2622" s="4" t="str">
        <f>"20228024614"</f>
        <v>20228024614</v>
      </c>
      <c r="B2622" s="4" t="str">
        <f t="shared" ref="B2622:B2685" si="48">"20220203"</f>
        <v>20220203</v>
      </c>
      <c r="C2622" s="5">
        <v>83.05</v>
      </c>
      <c r="D2622" s="5">
        <v>91.3</v>
      </c>
      <c r="E2622" s="5">
        <v>88</v>
      </c>
    </row>
    <row r="2623" spans="1:5">
      <c r="A2623" s="4" t="str">
        <f>"20228024615"</f>
        <v>20228024615</v>
      </c>
      <c r="B2623" s="4" t="str">
        <f t="shared" si="48"/>
        <v>20220203</v>
      </c>
      <c r="C2623" s="5">
        <v>91.38</v>
      </c>
      <c r="D2623" s="5">
        <v>106.6</v>
      </c>
      <c r="E2623" s="5">
        <v>100.51</v>
      </c>
    </row>
    <row r="2624" spans="1:5">
      <c r="A2624" s="4" t="str">
        <f>"20228024616"</f>
        <v>20228024616</v>
      </c>
      <c r="B2624" s="4" t="str">
        <f t="shared" si="48"/>
        <v>20220203</v>
      </c>
      <c r="C2624" s="5">
        <v>0</v>
      </c>
      <c r="D2624" s="5">
        <v>0</v>
      </c>
      <c r="E2624" s="5">
        <v>0</v>
      </c>
    </row>
    <row r="2625" spans="1:5">
      <c r="A2625" s="4" t="str">
        <f>"20228024617"</f>
        <v>20228024617</v>
      </c>
      <c r="B2625" s="4" t="str">
        <f t="shared" si="48"/>
        <v>20220203</v>
      </c>
      <c r="C2625" s="5">
        <v>0</v>
      </c>
      <c r="D2625" s="5">
        <v>0</v>
      </c>
      <c r="E2625" s="5">
        <v>0</v>
      </c>
    </row>
    <row r="2626" spans="1:5">
      <c r="A2626" s="4" t="str">
        <f>"20228024618"</f>
        <v>20228024618</v>
      </c>
      <c r="B2626" s="4" t="str">
        <f t="shared" si="48"/>
        <v>20220203</v>
      </c>
      <c r="C2626" s="5">
        <v>90.35</v>
      </c>
      <c r="D2626" s="5">
        <v>102.6</v>
      </c>
      <c r="E2626" s="5">
        <v>97.7</v>
      </c>
    </row>
    <row r="2627" spans="1:5">
      <c r="A2627" s="4" t="str">
        <f>"20228024619"</f>
        <v>20228024619</v>
      </c>
      <c r="B2627" s="4" t="str">
        <f t="shared" si="48"/>
        <v>20220203</v>
      </c>
      <c r="C2627" s="5">
        <v>0</v>
      </c>
      <c r="D2627" s="5">
        <v>0</v>
      </c>
      <c r="E2627" s="5">
        <v>0</v>
      </c>
    </row>
    <row r="2628" spans="1:5">
      <c r="A2628" s="4" t="str">
        <f>"20228024620"</f>
        <v>20228024620</v>
      </c>
      <c r="B2628" s="4" t="str">
        <f t="shared" si="48"/>
        <v>20220203</v>
      </c>
      <c r="C2628" s="5">
        <v>86.11</v>
      </c>
      <c r="D2628" s="5">
        <v>97.7</v>
      </c>
      <c r="E2628" s="5">
        <v>93.06</v>
      </c>
    </row>
    <row r="2629" spans="1:5">
      <c r="A2629" s="4" t="str">
        <f>"20228024621"</f>
        <v>20228024621</v>
      </c>
      <c r="B2629" s="4" t="str">
        <f t="shared" si="48"/>
        <v>20220203</v>
      </c>
      <c r="C2629" s="5">
        <v>0</v>
      </c>
      <c r="D2629" s="5">
        <v>0</v>
      </c>
      <c r="E2629" s="5">
        <v>0</v>
      </c>
    </row>
    <row r="2630" spans="1:5">
      <c r="A2630" s="4" t="str">
        <f>"20228024622"</f>
        <v>20228024622</v>
      </c>
      <c r="B2630" s="4" t="str">
        <f t="shared" si="48"/>
        <v>20220203</v>
      </c>
      <c r="C2630" s="5">
        <v>97.57</v>
      </c>
      <c r="D2630" s="5">
        <v>106</v>
      </c>
      <c r="E2630" s="5">
        <v>102.63</v>
      </c>
    </row>
    <row r="2631" spans="1:5">
      <c r="A2631" s="4" t="str">
        <f>"20228024623"</f>
        <v>20228024623</v>
      </c>
      <c r="B2631" s="4" t="str">
        <f t="shared" si="48"/>
        <v>20220203</v>
      </c>
      <c r="C2631" s="5">
        <v>0</v>
      </c>
      <c r="D2631" s="5">
        <v>0</v>
      </c>
      <c r="E2631" s="5">
        <v>0</v>
      </c>
    </row>
    <row r="2632" spans="1:5">
      <c r="A2632" s="4" t="str">
        <f>"20228024624"</f>
        <v>20228024624</v>
      </c>
      <c r="B2632" s="4" t="str">
        <f t="shared" si="48"/>
        <v>20220203</v>
      </c>
      <c r="C2632" s="5">
        <v>97.13</v>
      </c>
      <c r="D2632" s="5">
        <v>99.5</v>
      </c>
      <c r="E2632" s="5">
        <v>98.55</v>
      </c>
    </row>
    <row r="2633" spans="1:5">
      <c r="A2633" s="4" t="str">
        <f>"20228024625"</f>
        <v>20228024625</v>
      </c>
      <c r="B2633" s="4" t="str">
        <f t="shared" si="48"/>
        <v>20220203</v>
      </c>
      <c r="C2633" s="5">
        <v>0</v>
      </c>
      <c r="D2633" s="5">
        <v>0</v>
      </c>
      <c r="E2633" s="5">
        <v>0</v>
      </c>
    </row>
    <row r="2634" spans="1:5">
      <c r="A2634" s="4" t="str">
        <f>"20228024626"</f>
        <v>20228024626</v>
      </c>
      <c r="B2634" s="4" t="str">
        <f t="shared" si="48"/>
        <v>20220203</v>
      </c>
      <c r="C2634" s="5">
        <v>70.88</v>
      </c>
      <c r="D2634" s="5">
        <v>90.8</v>
      </c>
      <c r="E2634" s="5">
        <v>82.83</v>
      </c>
    </row>
    <row r="2635" spans="1:5">
      <c r="A2635" s="4" t="str">
        <f>"20228024627"</f>
        <v>20228024627</v>
      </c>
      <c r="B2635" s="4" t="str">
        <f t="shared" si="48"/>
        <v>20220203</v>
      </c>
      <c r="C2635" s="5">
        <v>91.87</v>
      </c>
      <c r="D2635" s="5">
        <v>107.6</v>
      </c>
      <c r="E2635" s="5">
        <v>101.31</v>
      </c>
    </row>
    <row r="2636" spans="1:5">
      <c r="A2636" s="4" t="str">
        <f>"20228024628"</f>
        <v>20228024628</v>
      </c>
      <c r="B2636" s="4" t="str">
        <f t="shared" si="48"/>
        <v>20220203</v>
      </c>
      <c r="C2636" s="5">
        <v>70.62</v>
      </c>
      <c r="D2636" s="5">
        <v>97.3</v>
      </c>
      <c r="E2636" s="5">
        <v>86.63</v>
      </c>
    </row>
    <row r="2637" spans="1:5">
      <c r="A2637" s="4" t="str">
        <f>"20228024629"</f>
        <v>20228024629</v>
      </c>
      <c r="B2637" s="4" t="str">
        <f t="shared" si="48"/>
        <v>20220203</v>
      </c>
      <c r="C2637" s="5">
        <v>84.82</v>
      </c>
      <c r="D2637" s="5">
        <v>99.1</v>
      </c>
      <c r="E2637" s="5">
        <v>93.39</v>
      </c>
    </row>
    <row r="2638" spans="1:5">
      <c r="A2638" s="4" t="str">
        <f>"20228024630"</f>
        <v>20228024630</v>
      </c>
      <c r="B2638" s="4" t="str">
        <f t="shared" si="48"/>
        <v>20220203</v>
      </c>
      <c r="C2638" s="5">
        <v>76.76</v>
      </c>
      <c r="D2638" s="5">
        <v>84.3</v>
      </c>
      <c r="E2638" s="5">
        <v>81.28</v>
      </c>
    </row>
    <row r="2639" spans="1:5">
      <c r="A2639" s="4" t="str">
        <f>"20228024701"</f>
        <v>20228024701</v>
      </c>
      <c r="B2639" s="4" t="str">
        <f t="shared" si="48"/>
        <v>20220203</v>
      </c>
      <c r="C2639" s="5">
        <v>0</v>
      </c>
      <c r="D2639" s="5">
        <v>0</v>
      </c>
      <c r="E2639" s="5">
        <v>0</v>
      </c>
    </row>
    <row r="2640" spans="1:5">
      <c r="A2640" s="4" t="str">
        <f>"20228024702"</f>
        <v>20228024702</v>
      </c>
      <c r="B2640" s="4" t="str">
        <f t="shared" si="48"/>
        <v>20220203</v>
      </c>
      <c r="C2640" s="5">
        <v>66.93</v>
      </c>
      <c r="D2640" s="5">
        <v>74.3</v>
      </c>
      <c r="E2640" s="5">
        <v>71.35</v>
      </c>
    </row>
    <row r="2641" spans="1:5">
      <c r="A2641" s="4" t="str">
        <f>"20228024703"</f>
        <v>20228024703</v>
      </c>
      <c r="B2641" s="4" t="str">
        <f t="shared" si="48"/>
        <v>20220203</v>
      </c>
      <c r="C2641" s="5">
        <v>0</v>
      </c>
      <c r="D2641" s="5">
        <v>0</v>
      </c>
      <c r="E2641" s="5">
        <v>0</v>
      </c>
    </row>
    <row r="2642" spans="1:5">
      <c r="A2642" s="4" t="str">
        <f>"20228024704"</f>
        <v>20228024704</v>
      </c>
      <c r="B2642" s="4" t="str">
        <f t="shared" si="48"/>
        <v>20220203</v>
      </c>
      <c r="C2642" s="5">
        <v>0</v>
      </c>
      <c r="D2642" s="5">
        <v>90.5</v>
      </c>
      <c r="E2642" s="5">
        <v>54.3</v>
      </c>
    </row>
    <row r="2643" spans="1:5">
      <c r="A2643" s="4" t="str">
        <f>"20228024705"</f>
        <v>20228024705</v>
      </c>
      <c r="B2643" s="4" t="str">
        <f t="shared" si="48"/>
        <v>20220203</v>
      </c>
      <c r="C2643" s="5">
        <v>87.15</v>
      </c>
      <c r="D2643" s="5">
        <v>93.9</v>
      </c>
      <c r="E2643" s="5">
        <v>91.2</v>
      </c>
    </row>
    <row r="2644" spans="1:5">
      <c r="A2644" s="4" t="str">
        <f>"20228024706"</f>
        <v>20228024706</v>
      </c>
      <c r="B2644" s="4" t="str">
        <f t="shared" si="48"/>
        <v>20220203</v>
      </c>
      <c r="C2644" s="5">
        <v>70.21</v>
      </c>
      <c r="D2644" s="5">
        <v>94.1</v>
      </c>
      <c r="E2644" s="5">
        <v>84.54</v>
      </c>
    </row>
    <row r="2645" spans="1:5">
      <c r="A2645" s="4" t="str">
        <f>"20228024707"</f>
        <v>20228024707</v>
      </c>
      <c r="B2645" s="4" t="str">
        <f t="shared" si="48"/>
        <v>20220203</v>
      </c>
      <c r="C2645" s="5">
        <v>0</v>
      </c>
      <c r="D2645" s="5">
        <v>0</v>
      </c>
      <c r="E2645" s="5">
        <v>0</v>
      </c>
    </row>
    <row r="2646" spans="1:5">
      <c r="A2646" s="4" t="str">
        <f>"20228024708"</f>
        <v>20228024708</v>
      </c>
      <c r="B2646" s="4" t="str">
        <f t="shared" si="48"/>
        <v>20220203</v>
      </c>
      <c r="C2646" s="5">
        <v>0</v>
      </c>
      <c r="D2646" s="5">
        <v>0</v>
      </c>
      <c r="E2646" s="5">
        <v>0</v>
      </c>
    </row>
    <row r="2647" spans="1:5">
      <c r="A2647" s="4" t="str">
        <f>"20228024709"</f>
        <v>20228024709</v>
      </c>
      <c r="B2647" s="4" t="str">
        <f t="shared" si="48"/>
        <v>20220203</v>
      </c>
      <c r="C2647" s="5">
        <v>78.36</v>
      </c>
      <c r="D2647" s="5">
        <v>96.8</v>
      </c>
      <c r="E2647" s="5">
        <v>89.42</v>
      </c>
    </row>
    <row r="2648" spans="1:5">
      <c r="A2648" s="4" t="str">
        <f>"20228024710"</f>
        <v>20228024710</v>
      </c>
      <c r="B2648" s="4" t="str">
        <f t="shared" si="48"/>
        <v>20220203</v>
      </c>
      <c r="C2648" s="5">
        <v>87.46</v>
      </c>
      <c r="D2648" s="5">
        <v>91.9</v>
      </c>
      <c r="E2648" s="5">
        <v>90.12</v>
      </c>
    </row>
    <row r="2649" spans="1:5">
      <c r="A2649" s="4" t="str">
        <f>"20228024711"</f>
        <v>20228024711</v>
      </c>
      <c r="B2649" s="4" t="str">
        <f t="shared" si="48"/>
        <v>20220203</v>
      </c>
      <c r="C2649" s="5">
        <v>86.27</v>
      </c>
      <c r="D2649" s="5">
        <v>104.6</v>
      </c>
      <c r="E2649" s="5">
        <v>97.27</v>
      </c>
    </row>
    <row r="2650" spans="1:5">
      <c r="A2650" s="4" t="str">
        <f>"20228024712"</f>
        <v>20228024712</v>
      </c>
      <c r="B2650" s="4" t="str">
        <f t="shared" si="48"/>
        <v>20220203</v>
      </c>
      <c r="C2650" s="5">
        <v>0</v>
      </c>
      <c r="D2650" s="5">
        <v>84.3</v>
      </c>
      <c r="E2650" s="5">
        <v>50.58</v>
      </c>
    </row>
    <row r="2651" spans="1:5">
      <c r="A2651" s="4" t="str">
        <f>"20228024713"</f>
        <v>20228024713</v>
      </c>
      <c r="B2651" s="4" t="str">
        <f t="shared" si="48"/>
        <v>20220203</v>
      </c>
      <c r="C2651" s="5">
        <v>77.27</v>
      </c>
      <c r="D2651" s="5">
        <v>103.5</v>
      </c>
      <c r="E2651" s="5">
        <v>93.01</v>
      </c>
    </row>
    <row r="2652" spans="1:5">
      <c r="A2652" s="4" t="str">
        <f>"20228024714"</f>
        <v>20228024714</v>
      </c>
      <c r="B2652" s="4" t="str">
        <f t="shared" si="48"/>
        <v>20220203</v>
      </c>
      <c r="C2652" s="5">
        <v>0</v>
      </c>
      <c r="D2652" s="5">
        <v>0</v>
      </c>
      <c r="E2652" s="5">
        <v>0</v>
      </c>
    </row>
    <row r="2653" spans="1:5">
      <c r="A2653" s="4" t="str">
        <f>"20228024715"</f>
        <v>20228024715</v>
      </c>
      <c r="B2653" s="4" t="str">
        <f t="shared" si="48"/>
        <v>20220203</v>
      </c>
      <c r="C2653" s="5">
        <v>0</v>
      </c>
      <c r="D2653" s="5">
        <v>0</v>
      </c>
      <c r="E2653" s="5">
        <v>0</v>
      </c>
    </row>
    <row r="2654" spans="1:5">
      <c r="A2654" s="4" t="str">
        <f>"20228024716"</f>
        <v>20228024716</v>
      </c>
      <c r="B2654" s="4" t="str">
        <f t="shared" si="48"/>
        <v>20220203</v>
      </c>
      <c r="C2654" s="5">
        <v>85.36</v>
      </c>
      <c r="D2654" s="5">
        <v>91</v>
      </c>
      <c r="E2654" s="5">
        <v>88.74</v>
      </c>
    </row>
    <row r="2655" spans="1:5">
      <c r="A2655" s="4" t="str">
        <f>"20228024717"</f>
        <v>20228024717</v>
      </c>
      <c r="B2655" s="4" t="str">
        <f t="shared" si="48"/>
        <v>20220203</v>
      </c>
      <c r="C2655" s="5">
        <v>0</v>
      </c>
      <c r="D2655" s="5">
        <v>0</v>
      </c>
      <c r="E2655" s="5">
        <v>0</v>
      </c>
    </row>
    <row r="2656" spans="1:5">
      <c r="A2656" s="4" t="str">
        <f>"20228024718"</f>
        <v>20228024718</v>
      </c>
      <c r="B2656" s="4" t="str">
        <f t="shared" si="48"/>
        <v>20220203</v>
      </c>
      <c r="C2656" s="5">
        <v>86.24</v>
      </c>
      <c r="D2656" s="5">
        <v>95.2</v>
      </c>
      <c r="E2656" s="5">
        <v>91.62</v>
      </c>
    </row>
    <row r="2657" spans="1:5">
      <c r="A2657" s="4" t="str">
        <f>"20228024719"</f>
        <v>20228024719</v>
      </c>
      <c r="B2657" s="4" t="str">
        <f t="shared" si="48"/>
        <v>20220203</v>
      </c>
      <c r="C2657" s="5">
        <v>0</v>
      </c>
      <c r="D2657" s="5">
        <v>0</v>
      </c>
      <c r="E2657" s="5">
        <v>0</v>
      </c>
    </row>
    <row r="2658" spans="1:5">
      <c r="A2658" s="4" t="str">
        <f>"20228024720"</f>
        <v>20228024720</v>
      </c>
      <c r="B2658" s="4" t="str">
        <f t="shared" si="48"/>
        <v>20220203</v>
      </c>
      <c r="C2658" s="5">
        <v>86.6</v>
      </c>
      <c r="D2658" s="5">
        <v>107.8</v>
      </c>
      <c r="E2658" s="5">
        <v>99.32</v>
      </c>
    </row>
    <row r="2659" spans="1:5">
      <c r="A2659" s="4" t="str">
        <f>"20228024721"</f>
        <v>20228024721</v>
      </c>
      <c r="B2659" s="4" t="str">
        <f t="shared" si="48"/>
        <v>20220203</v>
      </c>
      <c r="C2659" s="5">
        <v>0</v>
      </c>
      <c r="D2659" s="5">
        <v>0</v>
      </c>
      <c r="E2659" s="5">
        <v>0</v>
      </c>
    </row>
    <row r="2660" spans="1:5">
      <c r="A2660" s="4" t="str">
        <f>"20228024722"</f>
        <v>20228024722</v>
      </c>
      <c r="B2660" s="4" t="str">
        <f t="shared" si="48"/>
        <v>20220203</v>
      </c>
      <c r="C2660" s="5">
        <v>87.99</v>
      </c>
      <c r="D2660" s="5">
        <v>101.6</v>
      </c>
      <c r="E2660" s="5">
        <v>96.16</v>
      </c>
    </row>
    <row r="2661" spans="1:5">
      <c r="A2661" s="4" t="str">
        <f>"20228024723"</f>
        <v>20228024723</v>
      </c>
      <c r="B2661" s="4" t="str">
        <f t="shared" si="48"/>
        <v>20220203</v>
      </c>
      <c r="C2661" s="5">
        <v>97.35</v>
      </c>
      <c r="D2661" s="5">
        <v>98.5</v>
      </c>
      <c r="E2661" s="5">
        <v>98.04</v>
      </c>
    </row>
    <row r="2662" spans="1:5">
      <c r="A2662" s="4" t="str">
        <f>"20228024724"</f>
        <v>20228024724</v>
      </c>
      <c r="B2662" s="4" t="str">
        <f t="shared" si="48"/>
        <v>20220203</v>
      </c>
      <c r="C2662" s="5">
        <v>0</v>
      </c>
      <c r="D2662" s="5">
        <v>0</v>
      </c>
      <c r="E2662" s="5">
        <v>0</v>
      </c>
    </row>
    <row r="2663" spans="1:5">
      <c r="A2663" s="4" t="str">
        <f>"20228024725"</f>
        <v>20228024725</v>
      </c>
      <c r="B2663" s="4" t="str">
        <f t="shared" si="48"/>
        <v>20220203</v>
      </c>
      <c r="C2663" s="5">
        <v>0</v>
      </c>
      <c r="D2663" s="5">
        <v>0</v>
      </c>
      <c r="E2663" s="5">
        <v>0</v>
      </c>
    </row>
    <row r="2664" spans="1:5">
      <c r="A2664" s="4" t="str">
        <f>"20228024726"</f>
        <v>20228024726</v>
      </c>
      <c r="B2664" s="4" t="str">
        <f t="shared" si="48"/>
        <v>20220203</v>
      </c>
      <c r="C2664" s="5">
        <v>97.92</v>
      </c>
      <c r="D2664" s="5">
        <v>97.3</v>
      </c>
      <c r="E2664" s="5">
        <v>97.55</v>
      </c>
    </row>
    <row r="2665" spans="1:5">
      <c r="A2665" s="4" t="str">
        <f>"20228024727"</f>
        <v>20228024727</v>
      </c>
      <c r="B2665" s="4" t="str">
        <f t="shared" si="48"/>
        <v>20220203</v>
      </c>
      <c r="C2665" s="5">
        <v>84.68</v>
      </c>
      <c r="D2665" s="5">
        <v>98.8</v>
      </c>
      <c r="E2665" s="5">
        <v>93.15</v>
      </c>
    </row>
    <row r="2666" spans="1:5">
      <c r="A2666" s="4" t="str">
        <f>"20228024728"</f>
        <v>20228024728</v>
      </c>
      <c r="B2666" s="4" t="str">
        <f t="shared" si="48"/>
        <v>20220203</v>
      </c>
      <c r="C2666" s="5">
        <v>0</v>
      </c>
      <c r="D2666" s="5">
        <v>0</v>
      </c>
      <c r="E2666" s="5">
        <v>0</v>
      </c>
    </row>
    <row r="2667" spans="1:5">
      <c r="A2667" s="4" t="str">
        <f>"20228024729"</f>
        <v>20228024729</v>
      </c>
      <c r="B2667" s="4" t="str">
        <f t="shared" si="48"/>
        <v>20220203</v>
      </c>
      <c r="C2667" s="5">
        <v>85.23</v>
      </c>
      <c r="D2667" s="5">
        <v>98</v>
      </c>
      <c r="E2667" s="5">
        <v>92.89</v>
      </c>
    </row>
    <row r="2668" spans="1:5">
      <c r="A2668" s="4" t="str">
        <f>"20228024730"</f>
        <v>20228024730</v>
      </c>
      <c r="B2668" s="4" t="str">
        <f t="shared" si="48"/>
        <v>20220203</v>
      </c>
      <c r="C2668" s="5">
        <v>90.32</v>
      </c>
      <c r="D2668" s="5">
        <v>95.4</v>
      </c>
      <c r="E2668" s="5">
        <v>93.37</v>
      </c>
    </row>
    <row r="2669" spans="1:5">
      <c r="A2669" s="4" t="str">
        <f>"20228024801"</f>
        <v>20228024801</v>
      </c>
      <c r="B2669" s="4" t="str">
        <f t="shared" si="48"/>
        <v>20220203</v>
      </c>
      <c r="C2669" s="5">
        <v>91.47</v>
      </c>
      <c r="D2669" s="5">
        <v>97.8</v>
      </c>
      <c r="E2669" s="5">
        <v>95.27</v>
      </c>
    </row>
    <row r="2670" spans="1:5">
      <c r="A2670" s="4" t="str">
        <f>"20228024802"</f>
        <v>20228024802</v>
      </c>
      <c r="B2670" s="4" t="str">
        <f t="shared" si="48"/>
        <v>20220203</v>
      </c>
      <c r="C2670" s="5">
        <v>91.33</v>
      </c>
      <c r="D2670" s="5">
        <v>99.8</v>
      </c>
      <c r="E2670" s="5">
        <v>96.41</v>
      </c>
    </row>
    <row r="2671" spans="1:5">
      <c r="A2671" s="4" t="str">
        <f>"20228024803"</f>
        <v>20228024803</v>
      </c>
      <c r="B2671" s="4" t="str">
        <f t="shared" si="48"/>
        <v>20220203</v>
      </c>
      <c r="C2671" s="5">
        <v>0</v>
      </c>
      <c r="D2671" s="5">
        <v>0</v>
      </c>
      <c r="E2671" s="5">
        <v>0</v>
      </c>
    </row>
    <row r="2672" spans="1:5">
      <c r="A2672" s="4" t="str">
        <f>"20228024804"</f>
        <v>20228024804</v>
      </c>
      <c r="B2672" s="4" t="str">
        <f t="shared" si="48"/>
        <v>20220203</v>
      </c>
      <c r="C2672" s="5">
        <v>0</v>
      </c>
      <c r="D2672" s="5">
        <v>0</v>
      </c>
      <c r="E2672" s="5">
        <v>0</v>
      </c>
    </row>
    <row r="2673" spans="1:5">
      <c r="A2673" s="4" t="str">
        <f>"20228024805"</f>
        <v>20228024805</v>
      </c>
      <c r="B2673" s="4" t="str">
        <f t="shared" si="48"/>
        <v>20220203</v>
      </c>
      <c r="C2673" s="5">
        <v>0</v>
      </c>
      <c r="D2673" s="5">
        <v>0</v>
      </c>
      <c r="E2673" s="5">
        <v>0</v>
      </c>
    </row>
    <row r="2674" spans="1:5">
      <c r="A2674" s="4" t="str">
        <f>"20228024806"</f>
        <v>20228024806</v>
      </c>
      <c r="B2674" s="4" t="str">
        <f t="shared" si="48"/>
        <v>20220203</v>
      </c>
      <c r="C2674" s="5">
        <v>0</v>
      </c>
      <c r="D2674" s="5">
        <v>0</v>
      </c>
      <c r="E2674" s="5">
        <v>0</v>
      </c>
    </row>
    <row r="2675" spans="1:5">
      <c r="A2675" s="4" t="str">
        <f>"20228024807"</f>
        <v>20228024807</v>
      </c>
      <c r="B2675" s="4" t="str">
        <f t="shared" si="48"/>
        <v>20220203</v>
      </c>
      <c r="C2675" s="5">
        <v>0</v>
      </c>
      <c r="D2675" s="5">
        <v>0</v>
      </c>
      <c r="E2675" s="5">
        <v>0</v>
      </c>
    </row>
    <row r="2676" spans="1:5">
      <c r="A2676" s="4" t="str">
        <f>"20228024808"</f>
        <v>20228024808</v>
      </c>
      <c r="B2676" s="4" t="str">
        <f t="shared" si="48"/>
        <v>20220203</v>
      </c>
      <c r="C2676" s="5">
        <v>84.33</v>
      </c>
      <c r="D2676" s="5">
        <v>97.1</v>
      </c>
      <c r="E2676" s="5">
        <v>91.99</v>
      </c>
    </row>
    <row r="2677" spans="1:5">
      <c r="A2677" s="4" t="str">
        <f>"20228024809"</f>
        <v>20228024809</v>
      </c>
      <c r="B2677" s="4" t="str">
        <f t="shared" si="48"/>
        <v>20220203</v>
      </c>
      <c r="C2677" s="5">
        <v>86.68</v>
      </c>
      <c r="D2677" s="5">
        <v>90.6</v>
      </c>
      <c r="E2677" s="5">
        <v>89.03</v>
      </c>
    </row>
    <row r="2678" spans="1:5">
      <c r="A2678" s="4" t="str">
        <f>"20228024810"</f>
        <v>20228024810</v>
      </c>
      <c r="B2678" s="4" t="str">
        <f t="shared" si="48"/>
        <v>20220203</v>
      </c>
      <c r="C2678" s="5">
        <v>85.41</v>
      </c>
      <c r="D2678" s="5">
        <v>103.4</v>
      </c>
      <c r="E2678" s="5">
        <v>96.2</v>
      </c>
    </row>
    <row r="2679" spans="1:5">
      <c r="A2679" s="4" t="str">
        <f>"20228024811"</f>
        <v>20228024811</v>
      </c>
      <c r="B2679" s="4" t="str">
        <f t="shared" si="48"/>
        <v>20220203</v>
      </c>
      <c r="C2679" s="5">
        <v>77.17</v>
      </c>
      <c r="D2679" s="5">
        <v>100.6</v>
      </c>
      <c r="E2679" s="5">
        <v>91.23</v>
      </c>
    </row>
    <row r="2680" spans="1:5">
      <c r="A2680" s="4" t="str">
        <f>"20228024812"</f>
        <v>20228024812</v>
      </c>
      <c r="B2680" s="4" t="str">
        <f t="shared" si="48"/>
        <v>20220203</v>
      </c>
      <c r="C2680" s="5">
        <v>64.66</v>
      </c>
      <c r="D2680" s="5">
        <v>103.4</v>
      </c>
      <c r="E2680" s="5">
        <v>87.9</v>
      </c>
    </row>
    <row r="2681" spans="1:5">
      <c r="A2681" s="4" t="str">
        <f>"20228024813"</f>
        <v>20228024813</v>
      </c>
      <c r="B2681" s="4" t="str">
        <f t="shared" si="48"/>
        <v>20220203</v>
      </c>
      <c r="C2681" s="5">
        <v>82.56</v>
      </c>
      <c r="D2681" s="5">
        <v>91.5</v>
      </c>
      <c r="E2681" s="5">
        <v>87.92</v>
      </c>
    </row>
    <row r="2682" spans="1:5">
      <c r="A2682" s="4" t="str">
        <f>"20228024814"</f>
        <v>20228024814</v>
      </c>
      <c r="B2682" s="4" t="str">
        <f t="shared" si="48"/>
        <v>20220203</v>
      </c>
      <c r="C2682" s="5">
        <v>0</v>
      </c>
      <c r="D2682" s="5">
        <v>0</v>
      </c>
      <c r="E2682" s="5">
        <v>0</v>
      </c>
    </row>
    <row r="2683" spans="1:5">
      <c r="A2683" s="4" t="str">
        <f>"20228024815"</f>
        <v>20228024815</v>
      </c>
      <c r="B2683" s="4" t="str">
        <f t="shared" si="48"/>
        <v>20220203</v>
      </c>
      <c r="C2683" s="5">
        <v>103.86</v>
      </c>
      <c r="D2683" s="5">
        <v>105.1</v>
      </c>
      <c r="E2683" s="5">
        <v>104.6</v>
      </c>
    </row>
    <row r="2684" spans="1:5">
      <c r="A2684" s="4" t="str">
        <f>"20228024816"</f>
        <v>20228024816</v>
      </c>
      <c r="B2684" s="4" t="str">
        <f t="shared" si="48"/>
        <v>20220203</v>
      </c>
      <c r="C2684" s="5">
        <v>97.53</v>
      </c>
      <c r="D2684" s="5">
        <v>93.7</v>
      </c>
      <c r="E2684" s="5">
        <v>95.23</v>
      </c>
    </row>
    <row r="2685" spans="1:5">
      <c r="A2685" s="4" t="str">
        <f>"20228024817"</f>
        <v>20228024817</v>
      </c>
      <c r="B2685" s="4" t="str">
        <f t="shared" si="48"/>
        <v>20220203</v>
      </c>
      <c r="C2685" s="5">
        <v>0</v>
      </c>
      <c r="D2685" s="5">
        <v>0</v>
      </c>
      <c r="E2685" s="5">
        <v>0</v>
      </c>
    </row>
    <row r="2686" spans="1:5">
      <c r="A2686" s="4" t="str">
        <f>"20228024818"</f>
        <v>20228024818</v>
      </c>
      <c r="B2686" s="4" t="str">
        <f t="shared" ref="B2686:B2749" si="49">"20220203"</f>
        <v>20220203</v>
      </c>
      <c r="C2686" s="5">
        <v>0</v>
      </c>
      <c r="D2686" s="5">
        <v>0</v>
      </c>
      <c r="E2686" s="5">
        <v>0</v>
      </c>
    </row>
    <row r="2687" spans="1:5">
      <c r="A2687" s="4" t="str">
        <f>"20228024819"</f>
        <v>20228024819</v>
      </c>
      <c r="B2687" s="4" t="str">
        <f t="shared" si="49"/>
        <v>20220203</v>
      </c>
      <c r="C2687" s="5">
        <v>0</v>
      </c>
      <c r="D2687" s="5">
        <v>0</v>
      </c>
      <c r="E2687" s="5">
        <v>0</v>
      </c>
    </row>
    <row r="2688" spans="1:5">
      <c r="A2688" s="4" t="str">
        <f>"20228024820"</f>
        <v>20228024820</v>
      </c>
      <c r="B2688" s="4" t="str">
        <f t="shared" si="49"/>
        <v>20220203</v>
      </c>
      <c r="C2688" s="5">
        <v>0</v>
      </c>
      <c r="D2688" s="5">
        <v>0</v>
      </c>
      <c r="E2688" s="5">
        <v>0</v>
      </c>
    </row>
    <row r="2689" spans="1:5">
      <c r="A2689" s="4" t="str">
        <f>"20228024821"</f>
        <v>20228024821</v>
      </c>
      <c r="B2689" s="4" t="str">
        <f t="shared" si="49"/>
        <v>20220203</v>
      </c>
      <c r="C2689" s="5">
        <v>0</v>
      </c>
      <c r="D2689" s="5">
        <v>0</v>
      </c>
      <c r="E2689" s="5">
        <v>0</v>
      </c>
    </row>
    <row r="2690" spans="1:5">
      <c r="A2690" s="4" t="str">
        <f>"20228024822"</f>
        <v>20228024822</v>
      </c>
      <c r="B2690" s="4" t="str">
        <f t="shared" si="49"/>
        <v>20220203</v>
      </c>
      <c r="C2690" s="5">
        <v>82.1</v>
      </c>
      <c r="D2690" s="5">
        <v>97.6</v>
      </c>
      <c r="E2690" s="5">
        <v>91.4</v>
      </c>
    </row>
    <row r="2691" spans="1:5">
      <c r="A2691" s="4" t="str">
        <f>"20228024823"</f>
        <v>20228024823</v>
      </c>
      <c r="B2691" s="4" t="str">
        <f t="shared" si="49"/>
        <v>20220203</v>
      </c>
      <c r="C2691" s="5">
        <v>87.83</v>
      </c>
      <c r="D2691" s="5">
        <v>91.1</v>
      </c>
      <c r="E2691" s="5">
        <v>89.79</v>
      </c>
    </row>
    <row r="2692" spans="1:5">
      <c r="A2692" s="4" t="str">
        <f>"20228024824"</f>
        <v>20228024824</v>
      </c>
      <c r="B2692" s="4" t="str">
        <f t="shared" si="49"/>
        <v>20220203</v>
      </c>
      <c r="C2692" s="5">
        <v>74.24</v>
      </c>
      <c r="D2692" s="5">
        <v>96.6</v>
      </c>
      <c r="E2692" s="5">
        <v>87.66</v>
      </c>
    </row>
    <row r="2693" spans="1:5">
      <c r="A2693" s="4" t="str">
        <f>"20228024825"</f>
        <v>20228024825</v>
      </c>
      <c r="B2693" s="4" t="str">
        <f t="shared" si="49"/>
        <v>20220203</v>
      </c>
      <c r="C2693" s="5">
        <v>83.11</v>
      </c>
      <c r="D2693" s="5">
        <v>94.3</v>
      </c>
      <c r="E2693" s="5">
        <v>89.82</v>
      </c>
    </row>
    <row r="2694" spans="1:5">
      <c r="A2694" s="4" t="str">
        <f>"20228024826"</f>
        <v>20228024826</v>
      </c>
      <c r="B2694" s="4" t="str">
        <f t="shared" si="49"/>
        <v>20220203</v>
      </c>
      <c r="C2694" s="5">
        <v>91.86</v>
      </c>
      <c r="D2694" s="5">
        <v>101.7</v>
      </c>
      <c r="E2694" s="5">
        <v>97.76</v>
      </c>
    </row>
    <row r="2695" spans="1:5">
      <c r="A2695" s="4" t="str">
        <f>"20228024827"</f>
        <v>20228024827</v>
      </c>
      <c r="B2695" s="4" t="str">
        <f t="shared" si="49"/>
        <v>20220203</v>
      </c>
      <c r="C2695" s="5">
        <v>0</v>
      </c>
      <c r="D2695" s="5">
        <v>0</v>
      </c>
      <c r="E2695" s="5">
        <v>0</v>
      </c>
    </row>
    <row r="2696" spans="1:5">
      <c r="A2696" s="4" t="str">
        <f>"20228024828"</f>
        <v>20228024828</v>
      </c>
      <c r="B2696" s="4" t="str">
        <f t="shared" si="49"/>
        <v>20220203</v>
      </c>
      <c r="C2696" s="5">
        <v>76.11</v>
      </c>
      <c r="D2696" s="5">
        <v>89.7</v>
      </c>
      <c r="E2696" s="5">
        <v>84.26</v>
      </c>
    </row>
    <row r="2697" spans="1:5">
      <c r="A2697" s="4" t="str">
        <f>"20228024829"</f>
        <v>20228024829</v>
      </c>
      <c r="B2697" s="4" t="str">
        <f t="shared" si="49"/>
        <v>20220203</v>
      </c>
      <c r="C2697" s="5">
        <v>0</v>
      </c>
      <c r="D2697" s="5">
        <v>0</v>
      </c>
      <c r="E2697" s="5">
        <v>0</v>
      </c>
    </row>
    <row r="2698" spans="1:5">
      <c r="A2698" s="4" t="str">
        <f>"20228024830"</f>
        <v>20228024830</v>
      </c>
      <c r="B2698" s="4" t="str">
        <f t="shared" si="49"/>
        <v>20220203</v>
      </c>
      <c r="C2698" s="5">
        <v>0</v>
      </c>
      <c r="D2698" s="5">
        <v>0</v>
      </c>
      <c r="E2698" s="5">
        <v>0</v>
      </c>
    </row>
    <row r="2699" spans="1:5">
      <c r="A2699" s="4" t="str">
        <f>"20228024901"</f>
        <v>20228024901</v>
      </c>
      <c r="B2699" s="4" t="str">
        <f t="shared" si="49"/>
        <v>20220203</v>
      </c>
      <c r="C2699" s="5">
        <v>93.51</v>
      </c>
      <c r="D2699" s="5">
        <v>97.5</v>
      </c>
      <c r="E2699" s="5">
        <v>95.9</v>
      </c>
    </row>
    <row r="2700" spans="1:5">
      <c r="A2700" s="4" t="str">
        <f>"20228024902"</f>
        <v>20228024902</v>
      </c>
      <c r="B2700" s="4" t="str">
        <f t="shared" si="49"/>
        <v>20220203</v>
      </c>
      <c r="C2700" s="5">
        <v>82.94</v>
      </c>
      <c r="D2700" s="5">
        <v>92.5</v>
      </c>
      <c r="E2700" s="5">
        <v>88.68</v>
      </c>
    </row>
    <row r="2701" spans="1:5">
      <c r="A2701" s="4" t="str">
        <f>"20228024903"</f>
        <v>20228024903</v>
      </c>
      <c r="B2701" s="4" t="str">
        <f t="shared" si="49"/>
        <v>20220203</v>
      </c>
      <c r="C2701" s="5">
        <v>0</v>
      </c>
      <c r="D2701" s="5">
        <v>93.6</v>
      </c>
      <c r="E2701" s="5">
        <v>56.16</v>
      </c>
    </row>
    <row r="2702" spans="1:5">
      <c r="A2702" s="4" t="str">
        <f>"20228024904"</f>
        <v>20228024904</v>
      </c>
      <c r="B2702" s="4" t="str">
        <f t="shared" si="49"/>
        <v>20220203</v>
      </c>
      <c r="C2702" s="5">
        <v>103.4</v>
      </c>
      <c r="D2702" s="5">
        <v>97.9</v>
      </c>
      <c r="E2702" s="5">
        <v>100.1</v>
      </c>
    </row>
    <row r="2703" spans="1:5">
      <c r="A2703" s="4" t="str">
        <f>"20228024905"</f>
        <v>20228024905</v>
      </c>
      <c r="B2703" s="4" t="str">
        <f t="shared" si="49"/>
        <v>20220203</v>
      </c>
      <c r="C2703" s="5">
        <v>75.36</v>
      </c>
      <c r="D2703" s="5">
        <v>99.6</v>
      </c>
      <c r="E2703" s="5">
        <v>89.9</v>
      </c>
    </row>
    <row r="2704" spans="1:5">
      <c r="A2704" s="4" t="str">
        <f>"20228024906"</f>
        <v>20228024906</v>
      </c>
      <c r="B2704" s="4" t="str">
        <f t="shared" si="49"/>
        <v>20220203</v>
      </c>
      <c r="C2704" s="5">
        <v>98.47</v>
      </c>
      <c r="D2704" s="5">
        <v>97.8</v>
      </c>
      <c r="E2704" s="5">
        <v>98.07</v>
      </c>
    </row>
    <row r="2705" spans="1:5">
      <c r="A2705" s="4" t="str">
        <f>"20228024907"</f>
        <v>20228024907</v>
      </c>
      <c r="B2705" s="4" t="str">
        <f t="shared" si="49"/>
        <v>20220203</v>
      </c>
      <c r="C2705" s="5">
        <v>70.49</v>
      </c>
      <c r="D2705" s="5">
        <v>98.7</v>
      </c>
      <c r="E2705" s="5">
        <v>87.42</v>
      </c>
    </row>
    <row r="2706" spans="1:5">
      <c r="A2706" s="4" t="str">
        <f>"20228024908"</f>
        <v>20228024908</v>
      </c>
      <c r="B2706" s="4" t="str">
        <f t="shared" si="49"/>
        <v>20220203</v>
      </c>
      <c r="C2706" s="5">
        <v>88.31</v>
      </c>
      <c r="D2706" s="5">
        <v>98.6</v>
      </c>
      <c r="E2706" s="5">
        <v>94.48</v>
      </c>
    </row>
    <row r="2707" spans="1:5">
      <c r="A2707" s="4" t="str">
        <f>"20228024909"</f>
        <v>20228024909</v>
      </c>
      <c r="B2707" s="4" t="str">
        <f t="shared" si="49"/>
        <v>20220203</v>
      </c>
      <c r="C2707" s="5">
        <v>86.58</v>
      </c>
      <c r="D2707" s="5">
        <v>102.2</v>
      </c>
      <c r="E2707" s="5">
        <v>95.95</v>
      </c>
    </row>
    <row r="2708" spans="1:5">
      <c r="A2708" s="4" t="str">
        <f>"20228024910"</f>
        <v>20228024910</v>
      </c>
      <c r="B2708" s="4" t="str">
        <f t="shared" si="49"/>
        <v>20220203</v>
      </c>
      <c r="C2708" s="5">
        <v>72.53</v>
      </c>
      <c r="D2708" s="5">
        <v>95.3</v>
      </c>
      <c r="E2708" s="5">
        <v>86.19</v>
      </c>
    </row>
    <row r="2709" spans="1:5">
      <c r="A2709" s="4" t="str">
        <f>"20228024911"</f>
        <v>20228024911</v>
      </c>
      <c r="B2709" s="4" t="str">
        <f t="shared" si="49"/>
        <v>20220203</v>
      </c>
      <c r="C2709" s="5">
        <v>87</v>
      </c>
      <c r="D2709" s="5">
        <v>95</v>
      </c>
      <c r="E2709" s="5">
        <v>91.8</v>
      </c>
    </row>
    <row r="2710" spans="1:5">
      <c r="A2710" s="4" t="str">
        <f>"20228024912"</f>
        <v>20228024912</v>
      </c>
      <c r="B2710" s="4" t="str">
        <f t="shared" si="49"/>
        <v>20220203</v>
      </c>
      <c r="C2710" s="5">
        <v>0</v>
      </c>
      <c r="D2710" s="5">
        <v>0</v>
      </c>
      <c r="E2710" s="5">
        <v>0</v>
      </c>
    </row>
    <row r="2711" spans="1:5">
      <c r="A2711" s="4" t="str">
        <f>"20228024913"</f>
        <v>20228024913</v>
      </c>
      <c r="B2711" s="4" t="str">
        <f t="shared" si="49"/>
        <v>20220203</v>
      </c>
      <c r="C2711" s="5">
        <v>87.68</v>
      </c>
      <c r="D2711" s="5">
        <v>97.9</v>
      </c>
      <c r="E2711" s="5">
        <v>93.81</v>
      </c>
    </row>
    <row r="2712" spans="1:5">
      <c r="A2712" s="4" t="str">
        <f>"20228024914"</f>
        <v>20228024914</v>
      </c>
      <c r="B2712" s="4" t="str">
        <f t="shared" si="49"/>
        <v>20220203</v>
      </c>
      <c r="C2712" s="5">
        <v>0</v>
      </c>
      <c r="D2712" s="5">
        <v>0</v>
      </c>
      <c r="E2712" s="5">
        <v>0</v>
      </c>
    </row>
    <row r="2713" spans="1:5">
      <c r="A2713" s="4" t="str">
        <f>"20228024915"</f>
        <v>20228024915</v>
      </c>
      <c r="B2713" s="4" t="str">
        <f t="shared" si="49"/>
        <v>20220203</v>
      </c>
      <c r="C2713" s="5">
        <v>0</v>
      </c>
      <c r="D2713" s="5">
        <v>0</v>
      </c>
      <c r="E2713" s="5">
        <v>0</v>
      </c>
    </row>
    <row r="2714" spans="1:5">
      <c r="A2714" s="4" t="str">
        <f>"20228024916"</f>
        <v>20228024916</v>
      </c>
      <c r="B2714" s="4" t="str">
        <f t="shared" si="49"/>
        <v>20220203</v>
      </c>
      <c r="C2714" s="5">
        <v>0</v>
      </c>
      <c r="D2714" s="5">
        <v>0</v>
      </c>
      <c r="E2714" s="5">
        <v>0</v>
      </c>
    </row>
    <row r="2715" spans="1:5">
      <c r="A2715" s="4" t="str">
        <f>"20228024917"</f>
        <v>20228024917</v>
      </c>
      <c r="B2715" s="4" t="str">
        <f t="shared" si="49"/>
        <v>20220203</v>
      </c>
      <c r="C2715" s="5">
        <v>94.27</v>
      </c>
      <c r="D2715" s="5">
        <v>106.9</v>
      </c>
      <c r="E2715" s="5">
        <v>101.85</v>
      </c>
    </row>
    <row r="2716" spans="1:5">
      <c r="A2716" s="4" t="str">
        <f>"20228024918"</f>
        <v>20228024918</v>
      </c>
      <c r="B2716" s="4" t="str">
        <f t="shared" si="49"/>
        <v>20220203</v>
      </c>
      <c r="C2716" s="5">
        <v>90.61</v>
      </c>
      <c r="D2716" s="5">
        <v>105</v>
      </c>
      <c r="E2716" s="5">
        <v>99.24</v>
      </c>
    </row>
    <row r="2717" spans="1:5">
      <c r="A2717" s="4" t="str">
        <f>"20228024919"</f>
        <v>20228024919</v>
      </c>
      <c r="B2717" s="4" t="str">
        <f t="shared" si="49"/>
        <v>20220203</v>
      </c>
      <c r="C2717" s="5">
        <v>0</v>
      </c>
      <c r="D2717" s="5">
        <v>0</v>
      </c>
      <c r="E2717" s="5">
        <v>0</v>
      </c>
    </row>
    <row r="2718" spans="1:5">
      <c r="A2718" s="4" t="str">
        <f>"20228024920"</f>
        <v>20228024920</v>
      </c>
      <c r="B2718" s="4" t="str">
        <f t="shared" si="49"/>
        <v>20220203</v>
      </c>
      <c r="C2718" s="5">
        <v>91.1</v>
      </c>
      <c r="D2718" s="5">
        <v>99.5</v>
      </c>
      <c r="E2718" s="5">
        <v>96.14</v>
      </c>
    </row>
    <row r="2719" spans="1:5">
      <c r="A2719" s="4" t="str">
        <f>"20228024921"</f>
        <v>20228024921</v>
      </c>
      <c r="B2719" s="4" t="str">
        <f t="shared" si="49"/>
        <v>20220203</v>
      </c>
      <c r="C2719" s="5">
        <v>91.81</v>
      </c>
      <c r="D2719" s="5">
        <v>102</v>
      </c>
      <c r="E2719" s="5">
        <v>97.92</v>
      </c>
    </row>
    <row r="2720" spans="1:5">
      <c r="A2720" s="4" t="str">
        <f>"20228024922"</f>
        <v>20228024922</v>
      </c>
      <c r="B2720" s="4" t="str">
        <f t="shared" si="49"/>
        <v>20220203</v>
      </c>
      <c r="C2720" s="5">
        <v>85.57</v>
      </c>
      <c r="D2720" s="5">
        <v>98.6</v>
      </c>
      <c r="E2720" s="5">
        <v>93.39</v>
      </c>
    </row>
    <row r="2721" spans="1:5">
      <c r="A2721" s="4" t="str">
        <f>"20228024923"</f>
        <v>20228024923</v>
      </c>
      <c r="B2721" s="4" t="str">
        <f t="shared" si="49"/>
        <v>20220203</v>
      </c>
      <c r="C2721" s="5">
        <v>86.71</v>
      </c>
      <c r="D2721" s="5">
        <v>96.3</v>
      </c>
      <c r="E2721" s="5">
        <v>92.46</v>
      </c>
    </row>
    <row r="2722" spans="1:5">
      <c r="A2722" s="4" t="str">
        <f>"20228024924"</f>
        <v>20228024924</v>
      </c>
      <c r="B2722" s="4" t="str">
        <f t="shared" si="49"/>
        <v>20220203</v>
      </c>
      <c r="C2722" s="5">
        <v>97.4</v>
      </c>
      <c r="D2722" s="5">
        <v>91.4</v>
      </c>
      <c r="E2722" s="5">
        <v>93.8</v>
      </c>
    </row>
    <row r="2723" spans="1:5">
      <c r="A2723" s="4" t="str">
        <f>"20228024925"</f>
        <v>20228024925</v>
      </c>
      <c r="B2723" s="4" t="str">
        <f t="shared" si="49"/>
        <v>20220203</v>
      </c>
      <c r="C2723" s="5">
        <v>90.14</v>
      </c>
      <c r="D2723" s="5">
        <v>98.6</v>
      </c>
      <c r="E2723" s="5">
        <v>95.22</v>
      </c>
    </row>
    <row r="2724" spans="1:5">
      <c r="A2724" s="4" t="str">
        <f>"20228024926"</f>
        <v>20228024926</v>
      </c>
      <c r="B2724" s="4" t="str">
        <f t="shared" si="49"/>
        <v>20220203</v>
      </c>
      <c r="C2724" s="5">
        <v>0</v>
      </c>
      <c r="D2724" s="5">
        <v>0</v>
      </c>
      <c r="E2724" s="5">
        <v>0</v>
      </c>
    </row>
    <row r="2725" spans="1:5">
      <c r="A2725" s="4" t="str">
        <f>"20228024927"</f>
        <v>20228024927</v>
      </c>
      <c r="B2725" s="4" t="str">
        <f t="shared" si="49"/>
        <v>20220203</v>
      </c>
      <c r="C2725" s="5">
        <v>0</v>
      </c>
      <c r="D2725" s="5">
        <v>0</v>
      </c>
      <c r="E2725" s="5">
        <v>0</v>
      </c>
    </row>
    <row r="2726" spans="1:5">
      <c r="A2726" s="4" t="str">
        <f>"20228024928"</f>
        <v>20228024928</v>
      </c>
      <c r="B2726" s="4" t="str">
        <f t="shared" si="49"/>
        <v>20220203</v>
      </c>
      <c r="C2726" s="5">
        <v>0</v>
      </c>
      <c r="D2726" s="5">
        <v>0</v>
      </c>
      <c r="E2726" s="5">
        <v>0</v>
      </c>
    </row>
    <row r="2727" spans="1:5">
      <c r="A2727" s="4" t="str">
        <f>"20228024929"</f>
        <v>20228024929</v>
      </c>
      <c r="B2727" s="4" t="str">
        <f t="shared" si="49"/>
        <v>20220203</v>
      </c>
      <c r="C2727" s="5">
        <v>90.96</v>
      </c>
      <c r="D2727" s="5">
        <v>100.6</v>
      </c>
      <c r="E2727" s="5">
        <v>96.74</v>
      </c>
    </row>
    <row r="2728" spans="1:5">
      <c r="A2728" s="4" t="str">
        <f>"20228024930"</f>
        <v>20228024930</v>
      </c>
      <c r="B2728" s="4" t="str">
        <f t="shared" si="49"/>
        <v>20220203</v>
      </c>
      <c r="C2728" s="5">
        <v>0</v>
      </c>
      <c r="D2728" s="5">
        <v>0</v>
      </c>
      <c r="E2728" s="5">
        <v>0</v>
      </c>
    </row>
    <row r="2729" spans="1:5">
      <c r="A2729" s="4" t="str">
        <f>"20228025001"</f>
        <v>20228025001</v>
      </c>
      <c r="B2729" s="4" t="str">
        <f t="shared" si="49"/>
        <v>20220203</v>
      </c>
      <c r="C2729" s="5">
        <v>0</v>
      </c>
      <c r="D2729" s="5">
        <v>0</v>
      </c>
      <c r="E2729" s="5">
        <v>0</v>
      </c>
    </row>
    <row r="2730" spans="1:5">
      <c r="A2730" s="4" t="str">
        <f>"20228025002"</f>
        <v>20228025002</v>
      </c>
      <c r="B2730" s="4" t="str">
        <f t="shared" si="49"/>
        <v>20220203</v>
      </c>
      <c r="C2730" s="5">
        <v>73.95</v>
      </c>
      <c r="D2730" s="5">
        <v>94.5</v>
      </c>
      <c r="E2730" s="5">
        <v>86.28</v>
      </c>
    </row>
    <row r="2731" spans="1:5">
      <c r="A2731" s="4" t="str">
        <f>"20228025003"</f>
        <v>20228025003</v>
      </c>
      <c r="B2731" s="4" t="str">
        <f t="shared" si="49"/>
        <v>20220203</v>
      </c>
      <c r="C2731" s="5">
        <v>0</v>
      </c>
      <c r="D2731" s="5">
        <v>0</v>
      </c>
      <c r="E2731" s="5">
        <v>0</v>
      </c>
    </row>
    <row r="2732" spans="1:5">
      <c r="A2732" s="4" t="str">
        <f>"20228025004"</f>
        <v>20228025004</v>
      </c>
      <c r="B2732" s="4" t="str">
        <f t="shared" si="49"/>
        <v>20220203</v>
      </c>
      <c r="C2732" s="5">
        <v>0</v>
      </c>
      <c r="D2732" s="5">
        <v>0</v>
      </c>
      <c r="E2732" s="5">
        <v>0</v>
      </c>
    </row>
    <row r="2733" spans="1:5">
      <c r="A2733" s="4" t="str">
        <f>"20228025005"</f>
        <v>20228025005</v>
      </c>
      <c r="B2733" s="4" t="str">
        <f t="shared" si="49"/>
        <v>20220203</v>
      </c>
      <c r="C2733" s="5">
        <v>95.65</v>
      </c>
      <c r="D2733" s="5">
        <v>108.9</v>
      </c>
      <c r="E2733" s="5">
        <v>103.6</v>
      </c>
    </row>
    <row r="2734" spans="1:5">
      <c r="A2734" s="4" t="str">
        <f>"20228025006"</f>
        <v>20228025006</v>
      </c>
      <c r="B2734" s="4" t="str">
        <f t="shared" si="49"/>
        <v>20220203</v>
      </c>
      <c r="C2734" s="5">
        <v>0</v>
      </c>
      <c r="D2734" s="5">
        <v>0</v>
      </c>
      <c r="E2734" s="5">
        <v>0</v>
      </c>
    </row>
    <row r="2735" spans="1:5">
      <c r="A2735" s="4" t="str">
        <f>"20228025007"</f>
        <v>20228025007</v>
      </c>
      <c r="B2735" s="4" t="str">
        <f t="shared" si="49"/>
        <v>20220203</v>
      </c>
      <c r="C2735" s="5">
        <v>83.67</v>
      </c>
      <c r="D2735" s="5">
        <v>98.6</v>
      </c>
      <c r="E2735" s="5">
        <v>92.63</v>
      </c>
    </row>
    <row r="2736" spans="1:5">
      <c r="A2736" s="4" t="str">
        <f>"20228025008"</f>
        <v>20228025008</v>
      </c>
      <c r="B2736" s="4" t="str">
        <f t="shared" si="49"/>
        <v>20220203</v>
      </c>
      <c r="C2736" s="5">
        <v>0</v>
      </c>
      <c r="D2736" s="5">
        <v>0</v>
      </c>
      <c r="E2736" s="5">
        <v>0</v>
      </c>
    </row>
    <row r="2737" spans="1:5">
      <c r="A2737" s="4" t="str">
        <f>"20228025009"</f>
        <v>20228025009</v>
      </c>
      <c r="B2737" s="4" t="str">
        <f t="shared" si="49"/>
        <v>20220203</v>
      </c>
      <c r="C2737" s="5">
        <v>99.16</v>
      </c>
      <c r="D2737" s="5">
        <v>102</v>
      </c>
      <c r="E2737" s="5">
        <v>100.86</v>
      </c>
    </row>
    <row r="2738" spans="1:5">
      <c r="A2738" s="4" t="str">
        <f>"20228025010"</f>
        <v>20228025010</v>
      </c>
      <c r="B2738" s="4" t="str">
        <f t="shared" si="49"/>
        <v>20220203</v>
      </c>
      <c r="C2738" s="5">
        <v>66.02</v>
      </c>
      <c r="D2738" s="5">
        <v>94.1</v>
      </c>
      <c r="E2738" s="5">
        <v>82.87</v>
      </c>
    </row>
    <row r="2739" spans="1:5">
      <c r="A2739" s="4" t="str">
        <f>"20228025011"</f>
        <v>20228025011</v>
      </c>
      <c r="B2739" s="4" t="str">
        <f t="shared" si="49"/>
        <v>20220203</v>
      </c>
      <c r="C2739" s="5">
        <v>77.57</v>
      </c>
      <c r="D2739" s="5">
        <v>95.9</v>
      </c>
      <c r="E2739" s="5">
        <v>88.57</v>
      </c>
    </row>
    <row r="2740" spans="1:5">
      <c r="A2740" s="4" t="str">
        <f>"20228025012"</f>
        <v>20228025012</v>
      </c>
      <c r="B2740" s="4" t="str">
        <f t="shared" si="49"/>
        <v>20220203</v>
      </c>
      <c r="C2740" s="5">
        <v>83.14</v>
      </c>
      <c r="D2740" s="5">
        <v>104.8</v>
      </c>
      <c r="E2740" s="5">
        <v>96.14</v>
      </c>
    </row>
    <row r="2741" spans="1:5">
      <c r="A2741" s="4" t="str">
        <f>"20228025013"</f>
        <v>20228025013</v>
      </c>
      <c r="B2741" s="4" t="str">
        <f t="shared" si="49"/>
        <v>20220203</v>
      </c>
      <c r="C2741" s="5">
        <v>0</v>
      </c>
      <c r="D2741" s="5">
        <v>0</v>
      </c>
      <c r="E2741" s="5">
        <v>0</v>
      </c>
    </row>
    <row r="2742" spans="1:5">
      <c r="A2742" s="4" t="str">
        <f>"20228025014"</f>
        <v>20228025014</v>
      </c>
      <c r="B2742" s="4" t="str">
        <f t="shared" si="49"/>
        <v>20220203</v>
      </c>
      <c r="C2742" s="5">
        <v>95.9</v>
      </c>
      <c r="D2742" s="5">
        <v>102.7</v>
      </c>
      <c r="E2742" s="5">
        <v>99.98</v>
      </c>
    </row>
    <row r="2743" spans="1:5">
      <c r="A2743" s="4" t="str">
        <f>"20228025015"</f>
        <v>20228025015</v>
      </c>
      <c r="B2743" s="4" t="str">
        <f t="shared" si="49"/>
        <v>20220203</v>
      </c>
      <c r="C2743" s="5">
        <v>0</v>
      </c>
      <c r="D2743" s="5">
        <v>0</v>
      </c>
      <c r="E2743" s="5">
        <v>0</v>
      </c>
    </row>
    <row r="2744" spans="1:5">
      <c r="A2744" s="4" t="str">
        <f>"20228025016"</f>
        <v>20228025016</v>
      </c>
      <c r="B2744" s="4" t="str">
        <f t="shared" si="49"/>
        <v>20220203</v>
      </c>
      <c r="C2744" s="5">
        <v>0</v>
      </c>
      <c r="D2744" s="5">
        <v>0</v>
      </c>
      <c r="E2744" s="5">
        <v>0</v>
      </c>
    </row>
    <row r="2745" spans="1:5">
      <c r="A2745" s="4" t="str">
        <f>"20228025017"</f>
        <v>20228025017</v>
      </c>
      <c r="B2745" s="4" t="str">
        <f t="shared" si="49"/>
        <v>20220203</v>
      </c>
      <c r="C2745" s="5">
        <v>95.69</v>
      </c>
      <c r="D2745" s="5">
        <v>88.7</v>
      </c>
      <c r="E2745" s="5">
        <v>91.5</v>
      </c>
    </row>
    <row r="2746" spans="1:5">
      <c r="A2746" s="4" t="str">
        <f>"20228025018"</f>
        <v>20228025018</v>
      </c>
      <c r="B2746" s="4" t="str">
        <f t="shared" si="49"/>
        <v>20220203</v>
      </c>
      <c r="C2746" s="5">
        <v>87.17</v>
      </c>
      <c r="D2746" s="5">
        <v>83.7</v>
      </c>
      <c r="E2746" s="5">
        <v>85.09</v>
      </c>
    </row>
    <row r="2747" spans="1:5">
      <c r="A2747" s="4" t="str">
        <f>"20228025019"</f>
        <v>20228025019</v>
      </c>
      <c r="B2747" s="4" t="str">
        <f t="shared" si="49"/>
        <v>20220203</v>
      </c>
      <c r="C2747" s="5">
        <v>93.08</v>
      </c>
      <c r="D2747" s="5">
        <v>103.6</v>
      </c>
      <c r="E2747" s="5">
        <v>99.39</v>
      </c>
    </row>
    <row r="2748" spans="1:5">
      <c r="A2748" s="4" t="str">
        <f>"20228025020"</f>
        <v>20228025020</v>
      </c>
      <c r="B2748" s="4" t="str">
        <f t="shared" si="49"/>
        <v>20220203</v>
      </c>
      <c r="C2748" s="5">
        <v>82.99</v>
      </c>
      <c r="D2748" s="5">
        <v>97.7</v>
      </c>
      <c r="E2748" s="5">
        <v>91.82</v>
      </c>
    </row>
    <row r="2749" spans="1:5">
      <c r="A2749" s="4" t="str">
        <f>"20228025021"</f>
        <v>20228025021</v>
      </c>
      <c r="B2749" s="4" t="str">
        <f t="shared" si="49"/>
        <v>20220203</v>
      </c>
      <c r="C2749" s="5">
        <v>82.31</v>
      </c>
      <c r="D2749" s="5">
        <v>95.9</v>
      </c>
      <c r="E2749" s="5">
        <v>90.46</v>
      </c>
    </row>
    <row r="2750" spans="1:5">
      <c r="A2750" s="4" t="str">
        <f>"20228025022"</f>
        <v>20228025022</v>
      </c>
      <c r="B2750" s="4" t="str">
        <f t="shared" ref="B2750:B2813" si="50">"20220203"</f>
        <v>20220203</v>
      </c>
      <c r="C2750" s="5">
        <v>88.04</v>
      </c>
      <c r="D2750" s="5">
        <v>97.7</v>
      </c>
      <c r="E2750" s="5">
        <v>93.84</v>
      </c>
    </row>
    <row r="2751" spans="1:5">
      <c r="A2751" s="4" t="str">
        <f>"20228025023"</f>
        <v>20228025023</v>
      </c>
      <c r="B2751" s="4" t="str">
        <f t="shared" si="50"/>
        <v>20220203</v>
      </c>
      <c r="C2751" s="5">
        <v>0</v>
      </c>
      <c r="D2751" s="5">
        <v>0</v>
      </c>
      <c r="E2751" s="5">
        <v>0</v>
      </c>
    </row>
    <row r="2752" spans="1:5">
      <c r="A2752" s="4" t="str">
        <f>"20228025024"</f>
        <v>20228025024</v>
      </c>
      <c r="B2752" s="4" t="str">
        <f t="shared" si="50"/>
        <v>20220203</v>
      </c>
      <c r="C2752" s="5">
        <v>0</v>
      </c>
      <c r="D2752" s="5">
        <v>0</v>
      </c>
      <c r="E2752" s="5">
        <v>0</v>
      </c>
    </row>
    <row r="2753" spans="1:5">
      <c r="A2753" s="4" t="str">
        <f>"20228025025"</f>
        <v>20228025025</v>
      </c>
      <c r="B2753" s="4" t="str">
        <f t="shared" si="50"/>
        <v>20220203</v>
      </c>
      <c r="C2753" s="5">
        <v>94.73</v>
      </c>
      <c r="D2753" s="5">
        <v>99.7</v>
      </c>
      <c r="E2753" s="5">
        <v>97.71</v>
      </c>
    </row>
    <row r="2754" spans="1:5">
      <c r="A2754" s="4" t="str">
        <f>"20228025026"</f>
        <v>20228025026</v>
      </c>
      <c r="B2754" s="4" t="str">
        <f t="shared" si="50"/>
        <v>20220203</v>
      </c>
      <c r="C2754" s="5">
        <v>87.67</v>
      </c>
      <c r="D2754" s="5">
        <v>104.5</v>
      </c>
      <c r="E2754" s="5">
        <v>97.77</v>
      </c>
    </row>
    <row r="2755" spans="1:5">
      <c r="A2755" s="4" t="str">
        <f>"20228025027"</f>
        <v>20228025027</v>
      </c>
      <c r="B2755" s="4" t="str">
        <f t="shared" si="50"/>
        <v>20220203</v>
      </c>
      <c r="C2755" s="5">
        <v>88.12</v>
      </c>
      <c r="D2755" s="5">
        <v>107.5</v>
      </c>
      <c r="E2755" s="5">
        <v>99.75</v>
      </c>
    </row>
    <row r="2756" spans="1:5">
      <c r="A2756" s="4" t="str">
        <f>"20228025028"</f>
        <v>20228025028</v>
      </c>
      <c r="B2756" s="4" t="str">
        <f t="shared" si="50"/>
        <v>20220203</v>
      </c>
      <c r="C2756" s="5">
        <v>86.14</v>
      </c>
      <c r="D2756" s="5">
        <v>97.4</v>
      </c>
      <c r="E2756" s="5">
        <v>92.9</v>
      </c>
    </row>
    <row r="2757" spans="1:5">
      <c r="A2757" s="4" t="str">
        <f>"20228025029"</f>
        <v>20228025029</v>
      </c>
      <c r="B2757" s="4" t="str">
        <f t="shared" si="50"/>
        <v>20220203</v>
      </c>
      <c r="C2757" s="5">
        <v>0</v>
      </c>
      <c r="D2757" s="5">
        <v>0</v>
      </c>
      <c r="E2757" s="5">
        <v>0</v>
      </c>
    </row>
    <row r="2758" spans="1:5">
      <c r="A2758" s="4" t="str">
        <f>"20228025030"</f>
        <v>20228025030</v>
      </c>
      <c r="B2758" s="4" t="str">
        <f t="shared" si="50"/>
        <v>20220203</v>
      </c>
      <c r="C2758" s="5">
        <v>87.77</v>
      </c>
      <c r="D2758" s="5">
        <v>95.6</v>
      </c>
      <c r="E2758" s="5">
        <v>92.47</v>
      </c>
    </row>
    <row r="2759" spans="1:5">
      <c r="A2759" s="4" t="str">
        <f>"20228025101"</f>
        <v>20228025101</v>
      </c>
      <c r="B2759" s="4" t="str">
        <f t="shared" si="50"/>
        <v>20220203</v>
      </c>
      <c r="C2759" s="5">
        <v>0</v>
      </c>
      <c r="D2759" s="5">
        <v>0</v>
      </c>
      <c r="E2759" s="5">
        <v>0</v>
      </c>
    </row>
    <row r="2760" spans="1:5">
      <c r="A2760" s="4" t="str">
        <f>"20228025102"</f>
        <v>20228025102</v>
      </c>
      <c r="B2760" s="4" t="str">
        <f t="shared" si="50"/>
        <v>20220203</v>
      </c>
      <c r="C2760" s="5">
        <v>0</v>
      </c>
      <c r="D2760" s="5">
        <v>0</v>
      </c>
      <c r="E2760" s="5">
        <v>0</v>
      </c>
    </row>
    <row r="2761" spans="1:5">
      <c r="A2761" s="4" t="str">
        <f>"20228025103"</f>
        <v>20228025103</v>
      </c>
      <c r="B2761" s="4" t="str">
        <f t="shared" si="50"/>
        <v>20220203</v>
      </c>
      <c r="C2761" s="5">
        <v>0</v>
      </c>
      <c r="D2761" s="5">
        <v>0</v>
      </c>
      <c r="E2761" s="5">
        <v>0</v>
      </c>
    </row>
    <row r="2762" spans="1:5">
      <c r="A2762" s="4" t="str">
        <f>"20228025104"</f>
        <v>20228025104</v>
      </c>
      <c r="B2762" s="4" t="str">
        <f t="shared" si="50"/>
        <v>20220203</v>
      </c>
      <c r="C2762" s="5">
        <v>101.03</v>
      </c>
      <c r="D2762" s="5">
        <v>102.9</v>
      </c>
      <c r="E2762" s="5">
        <v>102.15</v>
      </c>
    </row>
    <row r="2763" spans="1:5">
      <c r="A2763" s="4" t="str">
        <f>"20228025105"</f>
        <v>20228025105</v>
      </c>
      <c r="B2763" s="4" t="str">
        <f t="shared" si="50"/>
        <v>20220203</v>
      </c>
      <c r="C2763" s="5">
        <v>90.45</v>
      </c>
      <c r="D2763" s="5">
        <v>99.5</v>
      </c>
      <c r="E2763" s="5">
        <v>95.88</v>
      </c>
    </row>
    <row r="2764" spans="1:5">
      <c r="A2764" s="4" t="str">
        <f>"20228025106"</f>
        <v>20228025106</v>
      </c>
      <c r="B2764" s="4" t="str">
        <f t="shared" si="50"/>
        <v>20220203</v>
      </c>
      <c r="C2764" s="5">
        <v>0</v>
      </c>
      <c r="D2764" s="5">
        <v>0</v>
      </c>
      <c r="E2764" s="5">
        <v>0</v>
      </c>
    </row>
    <row r="2765" spans="1:5">
      <c r="A2765" s="4" t="str">
        <f>"20228025107"</f>
        <v>20228025107</v>
      </c>
      <c r="B2765" s="4" t="str">
        <f t="shared" si="50"/>
        <v>20220203</v>
      </c>
      <c r="C2765" s="5">
        <v>82.72</v>
      </c>
      <c r="D2765" s="5">
        <v>102.9</v>
      </c>
      <c r="E2765" s="5">
        <v>94.83</v>
      </c>
    </row>
    <row r="2766" spans="1:5">
      <c r="A2766" s="4" t="str">
        <f>"20228025108"</f>
        <v>20228025108</v>
      </c>
      <c r="B2766" s="4" t="str">
        <f t="shared" si="50"/>
        <v>20220203</v>
      </c>
      <c r="C2766" s="5">
        <v>0</v>
      </c>
      <c r="D2766" s="5">
        <v>0</v>
      </c>
      <c r="E2766" s="5">
        <v>0</v>
      </c>
    </row>
    <row r="2767" spans="1:5">
      <c r="A2767" s="4" t="str">
        <f>"20228025109"</f>
        <v>20228025109</v>
      </c>
      <c r="B2767" s="4" t="str">
        <f t="shared" si="50"/>
        <v>20220203</v>
      </c>
      <c r="C2767" s="5">
        <v>0</v>
      </c>
      <c r="D2767" s="5">
        <v>0</v>
      </c>
      <c r="E2767" s="5">
        <v>0</v>
      </c>
    </row>
    <row r="2768" spans="1:5">
      <c r="A2768" s="4" t="str">
        <f>"20228025110"</f>
        <v>20228025110</v>
      </c>
      <c r="B2768" s="4" t="str">
        <f t="shared" si="50"/>
        <v>20220203</v>
      </c>
      <c r="C2768" s="5">
        <v>0</v>
      </c>
      <c r="D2768" s="5">
        <v>0</v>
      </c>
      <c r="E2768" s="5">
        <v>0</v>
      </c>
    </row>
    <row r="2769" spans="1:5">
      <c r="A2769" s="4" t="str">
        <f>"20228025111"</f>
        <v>20228025111</v>
      </c>
      <c r="B2769" s="4" t="str">
        <f t="shared" si="50"/>
        <v>20220203</v>
      </c>
      <c r="C2769" s="5">
        <v>0</v>
      </c>
      <c r="D2769" s="5">
        <v>0</v>
      </c>
      <c r="E2769" s="5">
        <v>0</v>
      </c>
    </row>
    <row r="2770" spans="1:5">
      <c r="A2770" s="4" t="str">
        <f>"20228025112"</f>
        <v>20228025112</v>
      </c>
      <c r="B2770" s="4" t="str">
        <f t="shared" si="50"/>
        <v>20220203</v>
      </c>
      <c r="C2770" s="5">
        <v>96.09</v>
      </c>
      <c r="D2770" s="5">
        <v>102.1</v>
      </c>
      <c r="E2770" s="5">
        <v>99.7</v>
      </c>
    </row>
    <row r="2771" spans="1:5">
      <c r="A2771" s="4" t="str">
        <f>"20228025113"</f>
        <v>20228025113</v>
      </c>
      <c r="B2771" s="4" t="str">
        <f t="shared" si="50"/>
        <v>20220203</v>
      </c>
      <c r="C2771" s="5">
        <v>79.2</v>
      </c>
      <c r="D2771" s="5">
        <v>89.1</v>
      </c>
      <c r="E2771" s="5">
        <v>85.14</v>
      </c>
    </row>
    <row r="2772" spans="1:5">
      <c r="A2772" s="4" t="str">
        <f>"20228025114"</f>
        <v>20228025114</v>
      </c>
      <c r="B2772" s="4" t="str">
        <f t="shared" si="50"/>
        <v>20220203</v>
      </c>
      <c r="C2772" s="5">
        <v>0</v>
      </c>
      <c r="D2772" s="5">
        <v>0</v>
      </c>
      <c r="E2772" s="5">
        <v>0</v>
      </c>
    </row>
    <row r="2773" spans="1:5">
      <c r="A2773" s="4" t="str">
        <f>"20228025115"</f>
        <v>20228025115</v>
      </c>
      <c r="B2773" s="4" t="str">
        <f t="shared" si="50"/>
        <v>20220203</v>
      </c>
      <c r="C2773" s="5">
        <v>85.89</v>
      </c>
      <c r="D2773" s="5">
        <v>90.4</v>
      </c>
      <c r="E2773" s="5">
        <v>88.6</v>
      </c>
    </row>
    <row r="2774" spans="1:5">
      <c r="A2774" s="4" t="str">
        <f>"20228025116"</f>
        <v>20228025116</v>
      </c>
      <c r="B2774" s="4" t="str">
        <f t="shared" si="50"/>
        <v>20220203</v>
      </c>
      <c r="C2774" s="5">
        <v>0</v>
      </c>
      <c r="D2774" s="5">
        <v>0</v>
      </c>
      <c r="E2774" s="5">
        <v>0</v>
      </c>
    </row>
    <row r="2775" spans="1:5">
      <c r="A2775" s="4" t="str">
        <f>"20228025117"</f>
        <v>20228025117</v>
      </c>
      <c r="B2775" s="4" t="str">
        <f t="shared" si="50"/>
        <v>20220203</v>
      </c>
      <c r="C2775" s="5">
        <v>0</v>
      </c>
      <c r="D2775" s="5">
        <v>0</v>
      </c>
      <c r="E2775" s="5">
        <v>0</v>
      </c>
    </row>
    <row r="2776" spans="1:5">
      <c r="A2776" s="4" t="str">
        <f>"20228025118"</f>
        <v>20228025118</v>
      </c>
      <c r="B2776" s="4" t="str">
        <f t="shared" si="50"/>
        <v>20220203</v>
      </c>
      <c r="C2776" s="5">
        <v>93.36</v>
      </c>
      <c r="D2776" s="5">
        <v>92.7</v>
      </c>
      <c r="E2776" s="5">
        <v>92.96</v>
      </c>
    </row>
    <row r="2777" spans="1:5">
      <c r="A2777" s="4" t="str">
        <f>"20228025119"</f>
        <v>20228025119</v>
      </c>
      <c r="B2777" s="4" t="str">
        <f t="shared" si="50"/>
        <v>20220203</v>
      </c>
      <c r="C2777" s="5">
        <v>0</v>
      </c>
      <c r="D2777" s="5">
        <v>0</v>
      </c>
      <c r="E2777" s="5">
        <v>0</v>
      </c>
    </row>
    <row r="2778" spans="1:5">
      <c r="A2778" s="4" t="str">
        <f>"20228025120"</f>
        <v>20228025120</v>
      </c>
      <c r="B2778" s="4" t="str">
        <f t="shared" si="50"/>
        <v>20220203</v>
      </c>
      <c r="C2778" s="5">
        <v>86.3</v>
      </c>
      <c r="D2778" s="5">
        <v>95.2</v>
      </c>
      <c r="E2778" s="5">
        <v>91.64</v>
      </c>
    </row>
    <row r="2779" spans="1:5">
      <c r="A2779" s="4" t="str">
        <f>"20228025121"</f>
        <v>20228025121</v>
      </c>
      <c r="B2779" s="4" t="str">
        <f t="shared" si="50"/>
        <v>20220203</v>
      </c>
      <c r="C2779" s="5">
        <v>0</v>
      </c>
      <c r="D2779" s="5">
        <v>0</v>
      </c>
      <c r="E2779" s="5">
        <v>0</v>
      </c>
    </row>
    <row r="2780" spans="1:5">
      <c r="A2780" s="4" t="str">
        <f>"20228025122"</f>
        <v>20228025122</v>
      </c>
      <c r="B2780" s="4" t="str">
        <f t="shared" si="50"/>
        <v>20220203</v>
      </c>
      <c r="C2780" s="5">
        <v>98.28</v>
      </c>
      <c r="D2780" s="5">
        <v>101.1</v>
      </c>
      <c r="E2780" s="5">
        <v>99.97</v>
      </c>
    </row>
    <row r="2781" spans="1:5">
      <c r="A2781" s="4" t="str">
        <f>"20228025123"</f>
        <v>20228025123</v>
      </c>
      <c r="B2781" s="4" t="str">
        <f t="shared" si="50"/>
        <v>20220203</v>
      </c>
      <c r="C2781" s="5">
        <v>87.42</v>
      </c>
      <c r="D2781" s="5">
        <v>106.2</v>
      </c>
      <c r="E2781" s="5">
        <v>98.69</v>
      </c>
    </row>
    <row r="2782" spans="1:5">
      <c r="A2782" s="4" t="str">
        <f>"20228025124"</f>
        <v>20228025124</v>
      </c>
      <c r="B2782" s="4" t="str">
        <f t="shared" si="50"/>
        <v>20220203</v>
      </c>
      <c r="C2782" s="5">
        <v>0</v>
      </c>
      <c r="D2782" s="5">
        <v>0</v>
      </c>
      <c r="E2782" s="5">
        <v>0</v>
      </c>
    </row>
    <row r="2783" spans="1:5">
      <c r="A2783" s="4" t="str">
        <f>"20228025125"</f>
        <v>20228025125</v>
      </c>
      <c r="B2783" s="4" t="str">
        <f t="shared" si="50"/>
        <v>20220203</v>
      </c>
      <c r="C2783" s="5">
        <v>79.77</v>
      </c>
      <c r="D2783" s="5">
        <v>92</v>
      </c>
      <c r="E2783" s="5">
        <v>87.11</v>
      </c>
    </row>
    <row r="2784" spans="1:5">
      <c r="A2784" s="4" t="str">
        <f>"20228025126"</f>
        <v>20228025126</v>
      </c>
      <c r="B2784" s="4" t="str">
        <f t="shared" si="50"/>
        <v>20220203</v>
      </c>
      <c r="C2784" s="5">
        <v>83.71</v>
      </c>
      <c r="D2784" s="5">
        <v>98</v>
      </c>
      <c r="E2784" s="5">
        <v>92.28</v>
      </c>
    </row>
    <row r="2785" spans="1:5">
      <c r="A2785" s="4" t="str">
        <f>"20228025127"</f>
        <v>20228025127</v>
      </c>
      <c r="B2785" s="4" t="str">
        <f t="shared" si="50"/>
        <v>20220203</v>
      </c>
      <c r="C2785" s="5">
        <v>96.9</v>
      </c>
      <c r="D2785" s="5">
        <v>102.6</v>
      </c>
      <c r="E2785" s="5">
        <v>100.32</v>
      </c>
    </row>
    <row r="2786" spans="1:5">
      <c r="A2786" s="4" t="str">
        <f>"20228025128"</f>
        <v>20228025128</v>
      </c>
      <c r="B2786" s="4" t="str">
        <f t="shared" si="50"/>
        <v>20220203</v>
      </c>
      <c r="C2786" s="5">
        <v>83.93</v>
      </c>
      <c r="D2786" s="5">
        <v>103.1</v>
      </c>
      <c r="E2786" s="5">
        <v>95.43</v>
      </c>
    </row>
    <row r="2787" spans="1:5">
      <c r="A2787" s="4" t="str">
        <f>"20228025129"</f>
        <v>20228025129</v>
      </c>
      <c r="B2787" s="4" t="str">
        <f t="shared" si="50"/>
        <v>20220203</v>
      </c>
      <c r="C2787" s="5">
        <v>0</v>
      </c>
      <c r="D2787" s="5">
        <v>0</v>
      </c>
      <c r="E2787" s="5">
        <v>0</v>
      </c>
    </row>
    <row r="2788" spans="1:5">
      <c r="A2788" s="4" t="str">
        <f>"20228025130"</f>
        <v>20228025130</v>
      </c>
      <c r="B2788" s="4" t="str">
        <f t="shared" si="50"/>
        <v>20220203</v>
      </c>
      <c r="C2788" s="5">
        <v>80.36</v>
      </c>
      <c r="D2788" s="5">
        <v>104.3</v>
      </c>
      <c r="E2788" s="5">
        <v>94.72</v>
      </c>
    </row>
    <row r="2789" spans="1:5">
      <c r="A2789" s="4" t="str">
        <f>"20228025201"</f>
        <v>20228025201</v>
      </c>
      <c r="B2789" s="4" t="str">
        <f t="shared" si="50"/>
        <v>20220203</v>
      </c>
      <c r="C2789" s="5">
        <v>95.78</v>
      </c>
      <c r="D2789" s="5">
        <v>99.3</v>
      </c>
      <c r="E2789" s="5">
        <v>97.89</v>
      </c>
    </row>
    <row r="2790" spans="1:5">
      <c r="A2790" s="4" t="str">
        <f>"20228025202"</f>
        <v>20228025202</v>
      </c>
      <c r="B2790" s="4" t="str">
        <f t="shared" si="50"/>
        <v>20220203</v>
      </c>
      <c r="C2790" s="5">
        <v>82.73</v>
      </c>
      <c r="D2790" s="5">
        <v>97.8</v>
      </c>
      <c r="E2790" s="5">
        <v>91.77</v>
      </c>
    </row>
    <row r="2791" spans="1:5">
      <c r="A2791" s="4" t="str">
        <f>"20228025203"</f>
        <v>20228025203</v>
      </c>
      <c r="B2791" s="4" t="str">
        <f t="shared" si="50"/>
        <v>20220203</v>
      </c>
      <c r="C2791" s="5">
        <v>92.27</v>
      </c>
      <c r="D2791" s="5">
        <v>102.9</v>
      </c>
      <c r="E2791" s="5">
        <v>98.65</v>
      </c>
    </row>
    <row r="2792" spans="1:5">
      <c r="A2792" s="4" t="str">
        <f>"20228025204"</f>
        <v>20228025204</v>
      </c>
      <c r="B2792" s="4" t="str">
        <f t="shared" si="50"/>
        <v>20220203</v>
      </c>
      <c r="C2792" s="5">
        <v>96.54</v>
      </c>
      <c r="D2792" s="5">
        <v>99.6</v>
      </c>
      <c r="E2792" s="5">
        <v>98.38</v>
      </c>
    </row>
    <row r="2793" spans="1:5">
      <c r="A2793" s="4" t="str">
        <f>"20228025205"</f>
        <v>20228025205</v>
      </c>
      <c r="B2793" s="4" t="str">
        <f t="shared" si="50"/>
        <v>20220203</v>
      </c>
      <c r="C2793" s="5">
        <v>0</v>
      </c>
      <c r="D2793" s="5">
        <v>0</v>
      </c>
      <c r="E2793" s="5">
        <v>0</v>
      </c>
    </row>
    <row r="2794" spans="1:5">
      <c r="A2794" s="4" t="str">
        <f>"20228025206"</f>
        <v>20228025206</v>
      </c>
      <c r="B2794" s="4" t="str">
        <f t="shared" si="50"/>
        <v>20220203</v>
      </c>
      <c r="C2794" s="5">
        <v>90.04</v>
      </c>
      <c r="D2794" s="5">
        <v>93.1</v>
      </c>
      <c r="E2794" s="5">
        <v>91.88</v>
      </c>
    </row>
    <row r="2795" spans="1:5">
      <c r="A2795" s="4" t="str">
        <f>"20228025207"</f>
        <v>20228025207</v>
      </c>
      <c r="B2795" s="4" t="str">
        <f t="shared" si="50"/>
        <v>20220203</v>
      </c>
      <c r="C2795" s="5">
        <v>0</v>
      </c>
      <c r="D2795" s="5">
        <v>0</v>
      </c>
      <c r="E2795" s="5">
        <v>0</v>
      </c>
    </row>
    <row r="2796" spans="1:5">
      <c r="A2796" s="4" t="str">
        <f>"20228025208"</f>
        <v>20228025208</v>
      </c>
      <c r="B2796" s="4" t="str">
        <f t="shared" si="50"/>
        <v>20220203</v>
      </c>
      <c r="C2796" s="5">
        <v>0</v>
      </c>
      <c r="D2796" s="5">
        <v>0</v>
      </c>
      <c r="E2796" s="5">
        <v>0</v>
      </c>
    </row>
    <row r="2797" spans="1:5">
      <c r="A2797" s="4" t="str">
        <f>"20228025209"</f>
        <v>20228025209</v>
      </c>
      <c r="B2797" s="4" t="str">
        <f t="shared" si="50"/>
        <v>20220203</v>
      </c>
      <c r="C2797" s="5">
        <v>88.78</v>
      </c>
      <c r="D2797" s="5">
        <v>102</v>
      </c>
      <c r="E2797" s="5">
        <v>96.71</v>
      </c>
    </row>
    <row r="2798" spans="1:5">
      <c r="A2798" s="4" t="str">
        <f>"20228025210"</f>
        <v>20228025210</v>
      </c>
      <c r="B2798" s="4" t="str">
        <f t="shared" si="50"/>
        <v>20220203</v>
      </c>
      <c r="C2798" s="5">
        <v>0</v>
      </c>
      <c r="D2798" s="5">
        <v>0</v>
      </c>
      <c r="E2798" s="5">
        <v>0</v>
      </c>
    </row>
    <row r="2799" spans="1:5">
      <c r="A2799" s="4" t="str">
        <f>"20228025211"</f>
        <v>20228025211</v>
      </c>
      <c r="B2799" s="4" t="str">
        <f t="shared" si="50"/>
        <v>20220203</v>
      </c>
      <c r="C2799" s="5">
        <v>0</v>
      </c>
      <c r="D2799" s="5">
        <v>0</v>
      </c>
      <c r="E2799" s="5">
        <v>0</v>
      </c>
    </row>
    <row r="2800" spans="1:5">
      <c r="A2800" s="4" t="str">
        <f>"20228025212"</f>
        <v>20228025212</v>
      </c>
      <c r="B2800" s="4" t="str">
        <f t="shared" si="50"/>
        <v>20220203</v>
      </c>
      <c r="C2800" s="5">
        <v>0</v>
      </c>
      <c r="D2800" s="5">
        <v>0</v>
      </c>
      <c r="E2800" s="5">
        <v>0</v>
      </c>
    </row>
    <row r="2801" spans="1:5">
      <c r="A2801" s="4" t="str">
        <f>"20228025213"</f>
        <v>20228025213</v>
      </c>
      <c r="B2801" s="4" t="str">
        <f t="shared" si="50"/>
        <v>20220203</v>
      </c>
      <c r="C2801" s="5">
        <v>0</v>
      </c>
      <c r="D2801" s="5">
        <v>0</v>
      </c>
      <c r="E2801" s="5">
        <v>0</v>
      </c>
    </row>
    <row r="2802" spans="1:5">
      <c r="A2802" s="4" t="str">
        <f>"20228025214"</f>
        <v>20228025214</v>
      </c>
      <c r="B2802" s="4" t="str">
        <f t="shared" si="50"/>
        <v>20220203</v>
      </c>
      <c r="C2802" s="5">
        <v>97.72</v>
      </c>
      <c r="D2802" s="5">
        <v>93.1</v>
      </c>
      <c r="E2802" s="5">
        <v>94.95</v>
      </c>
    </row>
    <row r="2803" spans="1:5">
      <c r="A2803" s="4" t="str">
        <f>"20228025215"</f>
        <v>20228025215</v>
      </c>
      <c r="B2803" s="4" t="str">
        <f t="shared" si="50"/>
        <v>20220203</v>
      </c>
      <c r="C2803" s="5">
        <v>0</v>
      </c>
      <c r="D2803" s="5">
        <v>0</v>
      </c>
      <c r="E2803" s="5">
        <v>0</v>
      </c>
    </row>
    <row r="2804" spans="1:5">
      <c r="A2804" s="4" t="str">
        <f>"20228025216"</f>
        <v>20228025216</v>
      </c>
      <c r="B2804" s="4" t="str">
        <f t="shared" si="50"/>
        <v>20220203</v>
      </c>
      <c r="C2804" s="5">
        <v>96.84</v>
      </c>
      <c r="D2804" s="5">
        <v>100</v>
      </c>
      <c r="E2804" s="5">
        <v>98.74</v>
      </c>
    </row>
    <row r="2805" spans="1:5">
      <c r="A2805" s="4" t="str">
        <f>"20228025217"</f>
        <v>20228025217</v>
      </c>
      <c r="B2805" s="4" t="str">
        <f t="shared" si="50"/>
        <v>20220203</v>
      </c>
      <c r="C2805" s="5">
        <v>0</v>
      </c>
      <c r="D2805" s="5">
        <v>0</v>
      </c>
      <c r="E2805" s="5">
        <v>0</v>
      </c>
    </row>
    <row r="2806" spans="1:5">
      <c r="A2806" s="4" t="str">
        <f>"20228025218"</f>
        <v>20228025218</v>
      </c>
      <c r="B2806" s="4" t="str">
        <f t="shared" si="50"/>
        <v>20220203</v>
      </c>
      <c r="C2806" s="5">
        <v>80.63</v>
      </c>
      <c r="D2806" s="5">
        <v>95</v>
      </c>
      <c r="E2806" s="5">
        <v>89.25</v>
      </c>
    </row>
    <row r="2807" spans="1:5">
      <c r="A2807" s="4" t="str">
        <f>"20228025219"</f>
        <v>20228025219</v>
      </c>
      <c r="B2807" s="4" t="str">
        <f t="shared" si="50"/>
        <v>20220203</v>
      </c>
      <c r="C2807" s="5">
        <v>85.97</v>
      </c>
      <c r="D2807" s="5">
        <v>88.9</v>
      </c>
      <c r="E2807" s="5">
        <v>87.73</v>
      </c>
    </row>
    <row r="2808" spans="1:5">
      <c r="A2808" s="4" t="str">
        <f>"20228025220"</f>
        <v>20228025220</v>
      </c>
      <c r="B2808" s="4" t="str">
        <f t="shared" si="50"/>
        <v>20220203</v>
      </c>
      <c r="C2808" s="5">
        <v>86.45</v>
      </c>
      <c r="D2808" s="5">
        <v>98</v>
      </c>
      <c r="E2808" s="5">
        <v>93.38</v>
      </c>
    </row>
    <row r="2809" spans="1:5">
      <c r="A2809" s="4" t="str">
        <f>"20228025221"</f>
        <v>20228025221</v>
      </c>
      <c r="B2809" s="4" t="str">
        <f t="shared" si="50"/>
        <v>20220203</v>
      </c>
      <c r="C2809" s="5">
        <v>80.06</v>
      </c>
      <c r="D2809" s="5">
        <v>96.9</v>
      </c>
      <c r="E2809" s="5">
        <v>90.16</v>
      </c>
    </row>
    <row r="2810" spans="1:5">
      <c r="A2810" s="4" t="str">
        <f>"20228025222"</f>
        <v>20228025222</v>
      </c>
      <c r="B2810" s="4" t="str">
        <f t="shared" si="50"/>
        <v>20220203</v>
      </c>
      <c r="C2810" s="5">
        <v>89.4</v>
      </c>
      <c r="D2810" s="5">
        <v>61.6</v>
      </c>
      <c r="E2810" s="5">
        <v>72.72</v>
      </c>
    </row>
    <row r="2811" spans="1:5">
      <c r="A2811" s="4" t="str">
        <f>"20228025223"</f>
        <v>20228025223</v>
      </c>
      <c r="B2811" s="4" t="str">
        <f t="shared" si="50"/>
        <v>20220203</v>
      </c>
      <c r="C2811" s="5">
        <v>0</v>
      </c>
      <c r="D2811" s="5">
        <v>0</v>
      </c>
      <c r="E2811" s="5">
        <v>0</v>
      </c>
    </row>
    <row r="2812" spans="1:5">
      <c r="A2812" s="4" t="str">
        <f>"20228025224"</f>
        <v>20228025224</v>
      </c>
      <c r="B2812" s="4" t="str">
        <f t="shared" si="50"/>
        <v>20220203</v>
      </c>
      <c r="C2812" s="5">
        <v>0</v>
      </c>
      <c r="D2812" s="5">
        <v>0</v>
      </c>
      <c r="E2812" s="5">
        <v>0</v>
      </c>
    </row>
    <row r="2813" spans="1:5">
      <c r="A2813" s="4" t="str">
        <f>"20228025225"</f>
        <v>20228025225</v>
      </c>
      <c r="B2813" s="4" t="str">
        <f t="shared" si="50"/>
        <v>20220203</v>
      </c>
      <c r="C2813" s="5">
        <v>0</v>
      </c>
      <c r="D2813" s="5">
        <v>0</v>
      </c>
      <c r="E2813" s="5">
        <v>0</v>
      </c>
    </row>
    <row r="2814" spans="1:5">
      <c r="A2814" s="4" t="str">
        <f>"20228025226"</f>
        <v>20228025226</v>
      </c>
      <c r="B2814" s="4" t="str">
        <f t="shared" ref="B2814:B2877" si="51">"20220203"</f>
        <v>20220203</v>
      </c>
      <c r="C2814" s="5">
        <v>84.4</v>
      </c>
      <c r="D2814" s="5">
        <v>102.3</v>
      </c>
      <c r="E2814" s="5">
        <v>95.14</v>
      </c>
    </row>
    <row r="2815" spans="1:5">
      <c r="A2815" s="4" t="str">
        <f>"20228025227"</f>
        <v>20228025227</v>
      </c>
      <c r="B2815" s="4" t="str">
        <f t="shared" si="51"/>
        <v>20220203</v>
      </c>
      <c r="C2815" s="5">
        <v>81.68</v>
      </c>
      <c r="D2815" s="5">
        <v>98.7</v>
      </c>
      <c r="E2815" s="5">
        <v>91.89</v>
      </c>
    </row>
    <row r="2816" spans="1:5">
      <c r="A2816" s="4" t="str">
        <f>"20228025228"</f>
        <v>20228025228</v>
      </c>
      <c r="B2816" s="4" t="str">
        <f t="shared" si="51"/>
        <v>20220203</v>
      </c>
      <c r="C2816" s="5">
        <v>0</v>
      </c>
      <c r="D2816" s="5">
        <v>0</v>
      </c>
      <c r="E2816" s="5">
        <v>0</v>
      </c>
    </row>
    <row r="2817" spans="1:5">
      <c r="A2817" s="4" t="str">
        <f>"20228025229"</f>
        <v>20228025229</v>
      </c>
      <c r="B2817" s="4" t="str">
        <f t="shared" si="51"/>
        <v>20220203</v>
      </c>
      <c r="C2817" s="5">
        <v>0</v>
      </c>
      <c r="D2817" s="5">
        <v>0</v>
      </c>
      <c r="E2817" s="5">
        <v>0</v>
      </c>
    </row>
    <row r="2818" spans="1:5">
      <c r="A2818" s="4" t="str">
        <f>"20228025230"</f>
        <v>20228025230</v>
      </c>
      <c r="B2818" s="4" t="str">
        <f t="shared" si="51"/>
        <v>20220203</v>
      </c>
      <c r="C2818" s="5">
        <v>0</v>
      </c>
      <c r="D2818" s="5">
        <v>36.9</v>
      </c>
      <c r="E2818" s="5">
        <v>22.14</v>
      </c>
    </row>
    <row r="2819" spans="1:5">
      <c r="A2819" s="4" t="str">
        <f>"20228025301"</f>
        <v>20228025301</v>
      </c>
      <c r="B2819" s="4" t="str">
        <f t="shared" si="51"/>
        <v>20220203</v>
      </c>
      <c r="C2819" s="5">
        <v>69.95</v>
      </c>
      <c r="D2819" s="5">
        <v>107</v>
      </c>
      <c r="E2819" s="5">
        <v>92.18</v>
      </c>
    </row>
    <row r="2820" spans="1:5">
      <c r="A2820" s="4" t="str">
        <f>"20228025302"</f>
        <v>20228025302</v>
      </c>
      <c r="B2820" s="4" t="str">
        <f t="shared" si="51"/>
        <v>20220203</v>
      </c>
      <c r="C2820" s="5">
        <v>74.76</v>
      </c>
      <c r="D2820" s="5">
        <v>96.7</v>
      </c>
      <c r="E2820" s="5">
        <v>87.92</v>
      </c>
    </row>
    <row r="2821" spans="1:5">
      <c r="A2821" s="4" t="str">
        <f>"20228025303"</f>
        <v>20228025303</v>
      </c>
      <c r="B2821" s="4" t="str">
        <f t="shared" si="51"/>
        <v>20220203</v>
      </c>
      <c r="C2821" s="5">
        <v>86.47</v>
      </c>
      <c r="D2821" s="5">
        <v>97.9</v>
      </c>
      <c r="E2821" s="5">
        <v>93.33</v>
      </c>
    </row>
    <row r="2822" spans="1:5">
      <c r="A2822" s="4" t="str">
        <f>"20228025304"</f>
        <v>20228025304</v>
      </c>
      <c r="B2822" s="4" t="str">
        <f t="shared" si="51"/>
        <v>20220203</v>
      </c>
      <c r="C2822" s="5">
        <v>0</v>
      </c>
      <c r="D2822" s="5">
        <v>0</v>
      </c>
      <c r="E2822" s="5">
        <v>0</v>
      </c>
    </row>
    <row r="2823" spans="1:5">
      <c r="A2823" s="4" t="str">
        <f>"20228025305"</f>
        <v>20228025305</v>
      </c>
      <c r="B2823" s="4" t="str">
        <f t="shared" si="51"/>
        <v>20220203</v>
      </c>
      <c r="C2823" s="5">
        <v>84.93</v>
      </c>
      <c r="D2823" s="5">
        <v>90.5</v>
      </c>
      <c r="E2823" s="5">
        <v>88.27</v>
      </c>
    </row>
    <row r="2824" spans="1:5">
      <c r="A2824" s="4" t="str">
        <f>"20228025306"</f>
        <v>20228025306</v>
      </c>
      <c r="B2824" s="4" t="str">
        <f t="shared" si="51"/>
        <v>20220203</v>
      </c>
      <c r="C2824" s="5">
        <v>0</v>
      </c>
      <c r="D2824" s="5">
        <v>0</v>
      </c>
      <c r="E2824" s="5">
        <v>0</v>
      </c>
    </row>
    <row r="2825" spans="1:5">
      <c r="A2825" s="4" t="str">
        <f>"20228025307"</f>
        <v>20228025307</v>
      </c>
      <c r="B2825" s="4" t="str">
        <f t="shared" si="51"/>
        <v>20220203</v>
      </c>
      <c r="C2825" s="5">
        <v>98.18</v>
      </c>
      <c r="D2825" s="5">
        <v>102.7</v>
      </c>
      <c r="E2825" s="5">
        <v>100.89</v>
      </c>
    </row>
    <row r="2826" spans="1:5">
      <c r="A2826" s="4" t="str">
        <f>"20228025308"</f>
        <v>20228025308</v>
      </c>
      <c r="B2826" s="4" t="str">
        <f t="shared" si="51"/>
        <v>20220203</v>
      </c>
      <c r="C2826" s="5">
        <v>77.54</v>
      </c>
      <c r="D2826" s="5">
        <v>91.4</v>
      </c>
      <c r="E2826" s="5">
        <v>85.86</v>
      </c>
    </row>
    <row r="2827" spans="1:5">
      <c r="A2827" s="4" t="str">
        <f>"20228025309"</f>
        <v>20228025309</v>
      </c>
      <c r="B2827" s="4" t="str">
        <f t="shared" si="51"/>
        <v>20220203</v>
      </c>
      <c r="C2827" s="5">
        <v>0</v>
      </c>
      <c r="D2827" s="5">
        <v>0</v>
      </c>
      <c r="E2827" s="5">
        <v>0</v>
      </c>
    </row>
    <row r="2828" spans="1:5">
      <c r="A2828" s="4" t="str">
        <f>"20228025310"</f>
        <v>20228025310</v>
      </c>
      <c r="B2828" s="4" t="str">
        <f t="shared" si="51"/>
        <v>20220203</v>
      </c>
      <c r="C2828" s="5">
        <v>74.7</v>
      </c>
      <c r="D2828" s="5">
        <v>98.6</v>
      </c>
      <c r="E2828" s="5">
        <v>89.04</v>
      </c>
    </row>
    <row r="2829" spans="1:5">
      <c r="A2829" s="4" t="str">
        <f>"20228025311"</f>
        <v>20228025311</v>
      </c>
      <c r="B2829" s="4" t="str">
        <f t="shared" si="51"/>
        <v>20220203</v>
      </c>
      <c r="C2829" s="5">
        <v>74.55</v>
      </c>
      <c r="D2829" s="5">
        <v>108</v>
      </c>
      <c r="E2829" s="5">
        <v>94.62</v>
      </c>
    </row>
    <row r="2830" spans="1:5">
      <c r="A2830" s="4" t="str">
        <f>"20228025312"</f>
        <v>20228025312</v>
      </c>
      <c r="B2830" s="4" t="str">
        <f t="shared" si="51"/>
        <v>20220203</v>
      </c>
      <c r="C2830" s="5">
        <v>0</v>
      </c>
      <c r="D2830" s="5">
        <v>0</v>
      </c>
      <c r="E2830" s="5">
        <v>0</v>
      </c>
    </row>
    <row r="2831" spans="1:5">
      <c r="A2831" s="4" t="str">
        <f>"20228025313"</f>
        <v>20228025313</v>
      </c>
      <c r="B2831" s="4" t="str">
        <f t="shared" si="51"/>
        <v>20220203</v>
      </c>
      <c r="C2831" s="5">
        <v>0</v>
      </c>
      <c r="D2831" s="5">
        <v>0</v>
      </c>
      <c r="E2831" s="5">
        <v>0</v>
      </c>
    </row>
    <row r="2832" spans="1:5">
      <c r="A2832" s="4" t="str">
        <f>"20228025314"</f>
        <v>20228025314</v>
      </c>
      <c r="B2832" s="4" t="str">
        <f t="shared" si="51"/>
        <v>20220203</v>
      </c>
      <c r="C2832" s="5">
        <v>76.3</v>
      </c>
      <c r="D2832" s="5">
        <v>100.5</v>
      </c>
      <c r="E2832" s="5">
        <v>90.82</v>
      </c>
    </row>
    <row r="2833" spans="1:5">
      <c r="A2833" s="4" t="str">
        <f>"20228025315"</f>
        <v>20228025315</v>
      </c>
      <c r="B2833" s="4" t="str">
        <f t="shared" si="51"/>
        <v>20220203</v>
      </c>
      <c r="C2833" s="5">
        <v>0</v>
      </c>
      <c r="D2833" s="5">
        <v>0</v>
      </c>
      <c r="E2833" s="5">
        <v>0</v>
      </c>
    </row>
    <row r="2834" spans="1:5">
      <c r="A2834" s="4" t="str">
        <f>"20228025316"</f>
        <v>20228025316</v>
      </c>
      <c r="B2834" s="4" t="str">
        <f t="shared" si="51"/>
        <v>20220203</v>
      </c>
      <c r="C2834" s="5">
        <v>0</v>
      </c>
      <c r="D2834" s="5">
        <v>0</v>
      </c>
      <c r="E2834" s="5">
        <v>0</v>
      </c>
    </row>
    <row r="2835" spans="1:5">
      <c r="A2835" s="4" t="str">
        <f>"20228025317"</f>
        <v>20228025317</v>
      </c>
      <c r="B2835" s="4" t="str">
        <f t="shared" si="51"/>
        <v>20220203</v>
      </c>
      <c r="C2835" s="5">
        <v>0</v>
      </c>
      <c r="D2835" s="5">
        <v>0</v>
      </c>
      <c r="E2835" s="5">
        <v>0</v>
      </c>
    </row>
    <row r="2836" spans="1:5">
      <c r="A2836" s="4" t="str">
        <f>"20228025318"</f>
        <v>20228025318</v>
      </c>
      <c r="B2836" s="4" t="str">
        <f t="shared" si="51"/>
        <v>20220203</v>
      </c>
      <c r="C2836" s="5">
        <v>89.95</v>
      </c>
      <c r="D2836" s="5">
        <v>109.8</v>
      </c>
      <c r="E2836" s="5">
        <v>101.86</v>
      </c>
    </row>
    <row r="2837" spans="1:5">
      <c r="A2837" s="4" t="str">
        <f>"20228025319"</f>
        <v>20228025319</v>
      </c>
      <c r="B2837" s="4" t="str">
        <f t="shared" si="51"/>
        <v>20220203</v>
      </c>
      <c r="C2837" s="5">
        <v>0</v>
      </c>
      <c r="D2837" s="5">
        <v>0</v>
      </c>
      <c r="E2837" s="5">
        <v>0</v>
      </c>
    </row>
    <row r="2838" spans="1:5">
      <c r="A2838" s="4" t="str">
        <f>"20228025320"</f>
        <v>20228025320</v>
      </c>
      <c r="B2838" s="4" t="str">
        <f t="shared" si="51"/>
        <v>20220203</v>
      </c>
      <c r="C2838" s="5">
        <v>93.75</v>
      </c>
      <c r="D2838" s="5">
        <v>91.2</v>
      </c>
      <c r="E2838" s="5">
        <v>92.22</v>
      </c>
    </row>
    <row r="2839" spans="1:5">
      <c r="A2839" s="4" t="str">
        <f>"20228025321"</f>
        <v>20228025321</v>
      </c>
      <c r="B2839" s="4" t="str">
        <f t="shared" si="51"/>
        <v>20220203</v>
      </c>
      <c r="C2839" s="5">
        <v>85.43</v>
      </c>
      <c r="D2839" s="5">
        <v>92.3</v>
      </c>
      <c r="E2839" s="5">
        <v>89.55</v>
      </c>
    </row>
    <row r="2840" spans="1:5">
      <c r="A2840" s="4" t="str">
        <f>"20228025322"</f>
        <v>20228025322</v>
      </c>
      <c r="B2840" s="4" t="str">
        <f t="shared" si="51"/>
        <v>20220203</v>
      </c>
      <c r="C2840" s="5">
        <v>89.25</v>
      </c>
      <c r="D2840" s="5">
        <v>100.4</v>
      </c>
      <c r="E2840" s="5">
        <v>95.94</v>
      </c>
    </row>
    <row r="2841" spans="1:5">
      <c r="A2841" s="4" t="str">
        <f>"20228025323"</f>
        <v>20228025323</v>
      </c>
      <c r="B2841" s="4" t="str">
        <f t="shared" si="51"/>
        <v>20220203</v>
      </c>
      <c r="C2841" s="5">
        <v>83.62</v>
      </c>
      <c r="D2841" s="5">
        <v>101.5</v>
      </c>
      <c r="E2841" s="5">
        <v>94.35</v>
      </c>
    </row>
    <row r="2842" spans="1:5">
      <c r="A2842" s="4" t="str">
        <f>"20228025324"</f>
        <v>20228025324</v>
      </c>
      <c r="B2842" s="4" t="str">
        <f t="shared" si="51"/>
        <v>20220203</v>
      </c>
      <c r="C2842" s="5">
        <v>0</v>
      </c>
      <c r="D2842" s="5">
        <v>0</v>
      </c>
      <c r="E2842" s="5">
        <v>0</v>
      </c>
    </row>
    <row r="2843" spans="1:5">
      <c r="A2843" s="4" t="str">
        <f>"20228025325"</f>
        <v>20228025325</v>
      </c>
      <c r="B2843" s="4" t="str">
        <f t="shared" si="51"/>
        <v>20220203</v>
      </c>
      <c r="C2843" s="5">
        <v>88.79</v>
      </c>
      <c r="D2843" s="5">
        <v>98.5</v>
      </c>
      <c r="E2843" s="5">
        <v>94.62</v>
      </c>
    </row>
    <row r="2844" spans="1:5">
      <c r="A2844" s="4" t="str">
        <f>"20228025326"</f>
        <v>20228025326</v>
      </c>
      <c r="B2844" s="4" t="str">
        <f t="shared" si="51"/>
        <v>20220203</v>
      </c>
      <c r="C2844" s="5">
        <v>82.54</v>
      </c>
      <c r="D2844" s="5">
        <v>99.1</v>
      </c>
      <c r="E2844" s="5">
        <v>92.48</v>
      </c>
    </row>
    <row r="2845" spans="1:5">
      <c r="A2845" s="4" t="str">
        <f>"20228025327"</f>
        <v>20228025327</v>
      </c>
      <c r="B2845" s="4" t="str">
        <f t="shared" si="51"/>
        <v>20220203</v>
      </c>
      <c r="C2845" s="5">
        <v>81.9</v>
      </c>
      <c r="D2845" s="5">
        <v>95.5</v>
      </c>
      <c r="E2845" s="5">
        <v>90.06</v>
      </c>
    </row>
    <row r="2846" spans="1:5">
      <c r="A2846" s="4" t="str">
        <f>"20228025328"</f>
        <v>20228025328</v>
      </c>
      <c r="B2846" s="4" t="str">
        <f t="shared" si="51"/>
        <v>20220203</v>
      </c>
      <c r="C2846" s="5">
        <v>95.92</v>
      </c>
      <c r="D2846" s="5">
        <v>100.4</v>
      </c>
      <c r="E2846" s="5">
        <v>98.61</v>
      </c>
    </row>
    <row r="2847" spans="1:5">
      <c r="A2847" s="4" t="str">
        <f>"20228025329"</f>
        <v>20228025329</v>
      </c>
      <c r="B2847" s="4" t="str">
        <f t="shared" si="51"/>
        <v>20220203</v>
      </c>
      <c r="C2847" s="5">
        <v>76.64</v>
      </c>
      <c r="D2847" s="5">
        <v>83.1</v>
      </c>
      <c r="E2847" s="5">
        <v>80.52</v>
      </c>
    </row>
    <row r="2848" spans="1:5">
      <c r="A2848" s="4" t="str">
        <f>"20228025330"</f>
        <v>20228025330</v>
      </c>
      <c r="B2848" s="4" t="str">
        <f t="shared" si="51"/>
        <v>20220203</v>
      </c>
      <c r="C2848" s="5">
        <v>0</v>
      </c>
      <c r="D2848" s="5">
        <v>0</v>
      </c>
      <c r="E2848" s="5">
        <v>0</v>
      </c>
    </row>
    <row r="2849" spans="1:5">
      <c r="A2849" s="4" t="str">
        <f>"20228025401"</f>
        <v>20228025401</v>
      </c>
      <c r="B2849" s="4" t="str">
        <f t="shared" si="51"/>
        <v>20220203</v>
      </c>
      <c r="C2849" s="5">
        <v>85.51</v>
      </c>
      <c r="D2849" s="5">
        <v>103.9</v>
      </c>
      <c r="E2849" s="5">
        <v>96.54</v>
      </c>
    </row>
    <row r="2850" spans="1:5">
      <c r="A2850" s="4" t="str">
        <f>"20228025402"</f>
        <v>20228025402</v>
      </c>
      <c r="B2850" s="4" t="str">
        <f t="shared" si="51"/>
        <v>20220203</v>
      </c>
      <c r="C2850" s="5">
        <v>86.7</v>
      </c>
      <c r="D2850" s="5">
        <v>105.3</v>
      </c>
      <c r="E2850" s="5">
        <v>97.86</v>
      </c>
    </row>
    <row r="2851" spans="1:5">
      <c r="A2851" s="4" t="str">
        <f>"20228025403"</f>
        <v>20228025403</v>
      </c>
      <c r="B2851" s="4" t="str">
        <f t="shared" si="51"/>
        <v>20220203</v>
      </c>
      <c r="C2851" s="5">
        <v>71.84</v>
      </c>
      <c r="D2851" s="5">
        <v>100.2</v>
      </c>
      <c r="E2851" s="5">
        <v>88.86</v>
      </c>
    </row>
    <row r="2852" spans="1:5">
      <c r="A2852" s="4" t="str">
        <f>"20228025404"</f>
        <v>20228025404</v>
      </c>
      <c r="B2852" s="4" t="str">
        <f t="shared" si="51"/>
        <v>20220203</v>
      </c>
      <c r="C2852" s="5">
        <v>92.88</v>
      </c>
      <c r="D2852" s="5">
        <v>98.8</v>
      </c>
      <c r="E2852" s="5">
        <v>96.43</v>
      </c>
    </row>
    <row r="2853" spans="1:5">
      <c r="A2853" s="4" t="str">
        <f>"20228025405"</f>
        <v>20228025405</v>
      </c>
      <c r="B2853" s="4" t="str">
        <f t="shared" si="51"/>
        <v>20220203</v>
      </c>
      <c r="C2853" s="5">
        <v>81.86</v>
      </c>
      <c r="D2853" s="5">
        <v>102</v>
      </c>
      <c r="E2853" s="5">
        <v>93.94</v>
      </c>
    </row>
    <row r="2854" spans="1:5">
      <c r="A2854" s="4" t="str">
        <f>"20228025406"</f>
        <v>20228025406</v>
      </c>
      <c r="B2854" s="4" t="str">
        <f t="shared" si="51"/>
        <v>20220203</v>
      </c>
      <c r="C2854" s="5">
        <v>99.58</v>
      </c>
      <c r="D2854" s="5">
        <v>105.9</v>
      </c>
      <c r="E2854" s="5">
        <v>103.37</v>
      </c>
    </row>
    <row r="2855" spans="1:5">
      <c r="A2855" s="4" t="str">
        <f>"20228025407"</f>
        <v>20228025407</v>
      </c>
      <c r="B2855" s="4" t="str">
        <f t="shared" si="51"/>
        <v>20220203</v>
      </c>
      <c r="C2855" s="5">
        <v>93.59</v>
      </c>
      <c r="D2855" s="5">
        <v>102</v>
      </c>
      <c r="E2855" s="5">
        <v>98.64</v>
      </c>
    </row>
    <row r="2856" spans="1:5">
      <c r="A2856" s="4" t="str">
        <f>"20228025408"</f>
        <v>20228025408</v>
      </c>
      <c r="B2856" s="4" t="str">
        <f t="shared" si="51"/>
        <v>20220203</v>
      </c>
      <c r="C2856" s="5">
        <v>80.32</v>
      </c>
      <c r="D2856" s="5">
        <v>81.9</v>
      </c>
      <c r="E2856" s="5">
        <v>81.27</v>
      </c>
    </row>
    <row r="2857" spans="1:5">
      <c r="A2857" s="4" t="str">
        <f>"20228025409"</f>
        <v>20228025409</v>
      </c>
      <c r="B2857" s="4" t="str">
        <f t="shared" si="51"/>
        <v>20220203</v>
      </c>
      <c r="C2857" s="5">
        <v>0</v>
      </c>
      <c r="D2857" s="5">
        <v>0</v>
      </c>
      <c r="E2857" s="5">
        <v>0</v>
      </c>
    </row>
    <row r="2858" spans="1:5">
      <c r="A2858" s="4" t="str">
        <f>"20228025410"</f>
        <v>20228025410</v>
      </c>
      <c r="B2858" s="4" t="str">
        <f t="shared" si="51"/>
        <v>20220203</v>
      </c>
      <c r="C2858" s="5">
        <v>97.28</v>
      </c>
      <c r="D2858" s="5">
        <v>109.3</v>
      </c>
      <c r="E2858" s="5">
        <v>104.49</v>
      </c>
    </row>
    <row r="2859" spans="1:5">
      <c r="A2859" s="4" t="str">
        <f>"20228025411"</f>
        <v>20228025411</v>
      </c>
      <c r="B2859" s="4" t="str">
        <f t="shared" si="51"/>
        <v>20220203</v>
      </c>
      <c r="C2859" s="5">
        <v>95.69</v>
      </c>
      <c r="D2859" s="5">
        <v>105.8</v>
      </c>
      <c r="E2859" s="5">
        <v>101.76</v>
      </c>
    </row>
    <row r="2860" spans="1:5">
      <c r="A2860" s="4" t="str">
        <f>"20228025412"</f>
        <v>20228025412</v>
      </c>
      <c r="B2860" s="4" t="str">
        <f t="shared" si="51"/>
        <v>20220203</v>
      </c>
      <c r="C2860" s="5">
        <v>69.14</v>
      </c>
      <c r="D2860" s="5">
        <v>77.4</v>
      </c>
      <c r="E2860" s="5">
        <v>74.1</v>
      </c>
    </row>
    <row r="2861" spans="1:5">
      <c r="A2861" s="4" t="str">
        <f>"20228025413"</f>
        <v>20228025413</v>
      </c>
      <c r="B2861" s="4" t="str">
        <f t="shared" si="51"/>
        <v>20220203</v>
      </c>
      <c r="C2861" s="5">
        <v>0</v>
      </c>
      <c r="D2861" s="5">
        <v>0</v>
      </c>
      <c r="E2861" s="5">
        <v>0</v>
      </c>
    </row>
    <row r="2862" spans="1:5">
      <c r="A2862" s="4" t="str">
        <f>"20228025414"</f>
        <v>20228025414</v>
      </c>
      <c r="B2862" s="4" t="str">
        <f t="shared" si="51"/>
        <v>20220203</v>
      </c>
      <c r="C2862" s="5">
        <v>0</v>
      </c>
      <c r="D2862" s="5">
        <v>0</v>
      </c>
      <c r="E2862" s="5">
        <v>0</v>
      </c>
    </row>
    <row r="2863" spans="1:5">
      <c r="A2863" s="4" t="str">
        <f>"20228025415"</f>
        <v>20228025415</v>
      </c>
      <c r="B2863" s="4" t="str">
        <f t="shared" si="51"/>
        <v>20220203</v>
      </c>
      <c r="C2863" s="5">
        <v>79.25</v>
      </c>
      <c r="D2863" s="5">
        <v>108</v>
      </c>
      <c r="E2863" s="5">
        <v>96.5</v>
      </c>
    </row>
    <row r="2864" spans="1:5">
      <c r="A2864" s="4" t="str">
        <f>"20228025416"</f>
        <v>20228025416</v>
      </c>
      <c r="B2864" s="4" t="str">
        <f t="shared" si="51"/>
        <v>20220203</v>
      </c>
      <c r="C2864" s="5">
        <v>0</v>
      </c>
      <c r="D2864" s="5">
        <v>0</v>
      </c>
      <c r="E2864" s="5">
        <v>0</v>
      </c>
    </row>
    <row r="2865" spans="1:5">
      <c r="A2865" s="4" t="str">
        <f>"20228025417"</f>
        <v>20228025417</v>
      </c>
      <c r="B2865" s="4" t="str">
        <f t="shared" si="51"/>
        <v>20220203</v>
      </c>
      <c r="C2865" s="5">
        <v>75.26</v>
      </c>
      <c r="D2865" s="5">
        <v>81.1</v>
      </c>
      <c r="E2865" s="5">
        <v>78.76</v>
      </c>
    </row>
    <row r="2866" spans="1:5">
      <c r="A2866" s="4" t="str">
        <f>"20228025418"</f>
        <v>20228025418</v>
      </c>
      <c r="B2866" s="4" t="str">
        <f t="shared" si="51"/>
        <v>20220203</v>
      </c>
      <c r="C2866" s="5">
        <v>83.03</v>
      </c>
      <c r="D2866" s="5">
        <v>93.1</v>
      </c>
      <c r="E2866" s="5">
        <v>89.07</v>
      </c>
    </row>
    <row r="2867" spans="1:5">
      <c r="A2867" s="4" t="str">
        <f>"20228025419"</f>
        <v>20228025419</v>
      </c>
      <c r="B2867" s="4" t="str">
        <f t="shared" si="51"/>
        <v>20220203</v>
      </c>
      <c r="C2867" s="5">
        <v>92.06</v>
      </c>
      <c r="D2867" s="5">
        <v>104.6</v>
      </c>
      <c r="E2867" s="5">
        <v>99.58</v>
      </c>
    </row>
    <row r="2868" spans="1:5">
      <c r="A2868" s="4" t="str">
        <f>"20228025420"</f>
        <v>20228025420</v>
      </c>
      <c r="B2868" s="4" t="str">
        <f t="shared" si="51"/>
        <v>20220203</v>
      </c>
      <c r="C2868" s="5">
        <v>56.67</v>
      </c>
      <c r="D2868" s="5">
        <v>83.5</v>
      </c>
      <c r="E2868" s="5">
        <v>72.77</v>
      </c>
    </row>
    <row r="2869" spans="1:5">
      <c r="A2869" s="4" t="str">
        <f>"20228025421"</f>
        <v>20228025421</v>
      </c>
      <c r="B2869" s="4" t="str">
        <f t="shared" si="51"/>
        <v>20220203</v>
      </c>
      <c r="C2869" s="5">
        <v>90.17</v>
      </c>
      <c r="D2869" s="5">
        <v>99.7</v>
      </c>
      <c r="E2869" s="5">
        <v>95.89</v>
      </c>
    </row>
    <row r="2870" spans="1:5">
      <c r="A2870" s="4" t="str">
        <f>"20228025422"</f>
        <v>20228025422</v>
      </c>
      <c r="B2870" s="4" t="str">
        <f t="shared" si="51"/>
        <v>20220203</v>
      </c>
      <c r="C2870" s="5">
        <v>95.74</v>
      </c>
      <c r="D2870" s="5">
        <v>104.6</v>
      </c>
      <c r="E2870" s="5">
        <v>101.06</v>
      </c>
    </row>
    <row r="2871" spans="1:5">
      <c r="A2871" s="4" t="str">
        <f>"20228025423"</f>
        <v>20228025423</v>
      </c>
      <c r="B2871" s="4" t="str">
        <f t="shared" si="51"/>
        <v>20220203</v>
      </c>
      <c r="C2871" s="5">
        <v>0</v>
      </c>
      <c r="D2871" s="5">
        <v>0</v>
      </c>
      <c r="E2871" s="5">
        <v>0</v>
      </c>
    </row>
    <row r="2872" spans="1:5">
      <c r="A2872" s="4" t="str">
        <f>"20228025424"</f>
        <v>20228025424</v>
      </c>
      <c r="B2872" s="4" t="str">
        <f t="shared" si="51"/>
        <v>20220203</v>
      </c>
      <c r="C2872" s="5">
        <v>80.76</v>
      </c>
      <c r="D2872" s="5">
        <v>95.9</v>
      </c>
      <c r="E2872" s="5">
        <v>89.84</v>
      </c>
    </row>
    <row r="2873" spans="1:5">
      <c r="A2873" s="4" t="str">
        <f>"20228025425"</f>
        <v>20228025425</v>
      </c>
      <c r="B2873" s="4" t="str">
        <f t="shared" si="51"/>
        <v>20220203</v>
      </c>
      <c r="C2873" s="5">
        <v>96.11</v>
      </c>
      <c r="D2873" s="5">
        <v>96.9</v>
      </c>
      <c r="E2873" s="5">
        <v>96.58</v>
      </c>
    </row>
    <row r="2874" spans="1:5">
      <c r="A2874" s="4" t="str">
        <f>"20228025426"</f>
        <v>20228025426</v>
      </c>
      <c r="B2874" s="4" t="str">
        <f t="shared" si="51"/>
        <v>20220203</v>
      </c>
      <c r="C2874" s="5">
        <v>0</v>
      </c>
      <c r="D2874" s="5">
        <v>0</v>
      </c>
      <c r="E2874" s="5">
        <v>0</v>
      </c>
    </row>
    <row r="2875" spans="1:5">
      <c r="A2875" s="4" t="str">
        <f>"20228025427"</f>
        <v>20228025427</v>
      </c>
      <c r="B2875" s="4" t="str">
        <f t="shared" si="51"/>
        <v>20220203</v>
      </c>
      <c r="C2875" s="5">
        <v>92.11</v>
      </c>
      <c r="D2875" s="5">
        <v>97.2</v>
      </c>
      <c r="E2875" s="5">
        <v>95.16</v>
      </c>
    </row>
    <row r="2876" spans="1:5">
      <c r="A2876" s="4" t="str">
        <f>"20228025428"</f>
        <v>20228025428</v>
      </c>
      <c r="B2876" s="4" t="str">
        <f t="shared" si="51"/>
        <v>20220203</v>
      </c>
      <c r="C2876" s="5">
        <v>81.13</v>
      </c>
      <c r="D2876" s="5">
        <v>102.1</v>
      </c>
      <c r="E2876" s="5">
        <v>93.71</v>
      </c>
    </row>
    <row r="2877" spans="1:5">
      <c r="A2877" s="4" t="str">
        <f>"20228025429"</f>
        <v>20228025429</v>
      </c>
      <c r="B2877" s="4" t="str">
        <f t="shared" si="51"/>
        <v>20220203</v>
      </c>
      <c r="C2877" s="5">
        <v>86.41</v>
      </c>
      <c r="D2877" s="5">
        <v>97.3</v>
      </c>
      <c r="E2877" s="5">
        <v>92.94</v>
      </c>
    </row>
    <row r="2878" spans="1:5">
      <c r="A2878" s="4" t="str">
        <f>"20228025430"</f>
        <v>20228025430</v>
      </c>
      <c r="B2878" s="4" t="str">
        <f t="shared" ref="B2878:B2891" si="52">"20220203"</f>
        <v>20220203</v>
      </c>
      <c r="C2878" s="5">
        <v>97.15</v>
      </c>
      <c r="D2878" s="5">
        <v>100.1</v>
      </c>
      <c r="E2878" s="5">
        <v>98.92</v>
      </c>
    </row>
    <row r="2879" spans="1:5">
      <c r="A2879" s="4" t="str">
        <f>"20228025501"</f>
        <v>20228025501</v>
      </c>
      <c r="B2879" s="4" t="str">
        <f t="shared" si="52"/>
        <v>20220203</v>
      </c>
      <c r="C2879" s="5">
        <v>78.01</v>
      </c>
      <c r="D2879" s="5">
        <v>96.7</v>
      </c>
      <c r="E2879" s="5">
        <v>89.22</v>
      </c>
    </row>
    <row r="2880" spans="1:5">
      <c r="A2880" s="4" t="str">
        <f>"20228025502"</f>
        <v>20228025502</v>
      </c>
      <c r="B2880" s="4" t="str">
        <f t="shared" si="52"/>
        <v>20220203</v>
      </c>
      <c r="C2880" s="5">
        <v>88.31</v>
      </c>
      <c r="D2880" s="5">
        <v>87.7</v>
      </c>
      <c r="E2880" s="5">
        <v>87.94</v>
      </c>
    </row>
    <row r="2881" spans="1:5">
      <c r="A2881" s="4" t="str">
        <f>"20228025503"</f>
        <v>20228025503</v>
      </c>
      <c r="B2881" s="4" t="str">
        <f t="shared" si="52"/>
        <v>20220203</v>
      </c>
      <c r="C2881" s="5">
        <v>96.53</v>
      </c>
      <c r="D2881" s="5">
        <v>95</v>
      </c>
      <c r="E2881" s="5">
        <v>95.61</v>
      </c>
    </row>
    <row r="2882" spans="1:5">
      <c r="A2882" s="4" t="str">
        <f>"20228025504"</f>
        <v>20228025504</v>
      </c>
      <c r="B2882" s="4" t="str">
        <f t="shared" si="52"/>
        <v>20220203</v>
      </c>
      <c r="C2882" s="5">
        <v>69.49</v>
      </c>
      <c r="D2882" s="5">
        <v>97.4</v>
      </c>
      <c r="E2882" s="5">
        <v>86.24</v>
      </c>
    </row>
    <row r="2883" spans="1:5">
      <c r="A2883" s="4" t="str">
        <f>"20228025505"</f>
        <v>20228025505</v>
      </c>
      <c r="B2883" s="4" t="str">
        <f t="shared" si="52"/>
        <v>20220203</v>
      </c>
      <c r="C2883" s="5">
        <v>73.16</v>
      </c>
      <c r="D2883" s="5">
        <v>90.4</v>
      </c>
      <c r="E2883" s="5">
        <v>83.5</v>
      </c>
    </row>
    <row r="2884" spans="1:5">
      <c r="A2884" s="4" t="str">
        <f>"20228025506"</f>
        <v>20228025506</v>
      </c>
      <c r="B2884" s="4" t="str">
        <f t="shared" si="52"/>
        <v>20220203</v>
      </c>
      <c r="C2884" s="5">
        <v>0</v>
      </c>
      <c r="D2884" s="5">
        <v>0</v>
      </c>
      <c r="E2884" s="5">
        <v>0</v>
      </c>
    </row>
    <row r="2885" spans="1:5">
      <c r="A2885" s="4" t="str">
        <f>"20228025507"</f>
        <v>20228025507</v>
      </c>
      <c r="B2885" s="4" t="str">
        <f t="shared" si="52"/>
        <v>20220203</v>
      </c>
      <c r="C2885" s="5">
        <v>91.84</v>
      </c>
      <c r="D2885" s="5">
        <v>92.2</v>
      </c>
      <c r="E2885" s="5">
        <v>92.06</v>
      </c>
    </row>
    <row r="2886" spans="1:5">
      <c r="A2886" s="4" t="str">
        <f>"20228025508"</f>
        <v>20228025508</v>
      </c>
      <c r="B2886" s="4" t="str">
        <f t="shared" si="52"/>
        <v>20220203</v>
      </c>
      <c r="C2886" s="5">
        <v>94.19</v>
      </c>
      <c r="D2886" s="5">
        <v>104.2</v>
      </c>
      <c r="E2886" s="5">
        <v>100.2</v>
      </c>
    </row>
    <row r="2887" spans="1:5">
      <c r="A2887" s="4" t="str">
        <f>"20228025509"</f>
        <v>20228025509</v>
      </c>
      <c r="B2887" s="4" t="str">
        <f t="shared" si="52"/>
        <v>20220203</v>
      </c>
      <c r="C2887" s="5">
        <v>0</v>
      </c>
      <c r="D2887" s="5">
        <v>0</v>
      </c>
      <c r="E2887" s="5">
        <v>0</v>
      </c>
    </row>
    <row r="2888" spans="1:5">
      <c r="A2888" s="4" t="str">
        <f>"20228025510"</f>
        <v>20228025510</v>
      </c>
      <c r="B2888" s="4" t="str">
        <f t="shared" si="52"/>
        <v>20220203</v>
      </c>
      <c r="C2888" s="5">
        <v>84.45</v>
      </c>
      <c r="D2888" s="5">
        <v>105.8</v>
      </c>
      <c r="E2888" s="5">
        <v>97.26</v>
      </c>
    </row>
    <row r="2889" spans="1:5">
      <c r="A2889" s="4" t="str">
        <f>"20228025511"</f>
        <v>20228025511</v>
      </c>
      <c r="B2889" s="4" t="str">
        <f t="shared" si="52"/>
        <v>20220203</v>
      </c>
      <c r="C2889" s="5">
        <v>0</v>
      </c>
      <c r="D2889" s="5">
        <v>0</v>
      </c>
      <c r="E2889" s="5">
        <v>0</v>
      </c>
    </row>
    <row r="2890" spans="1:5">
      <c r="A2890" s="4" t="str">
        <f>"20228025512"</f>
        <v>20228025512</v>
      </c>
      <c r="B2890" s="4" t="str">
        <f t="shared" si="52"/>
        <v>20220203</v>
      </c>
      <c r="C2890" s="5">
        <v>0</v>
      </c>
      <c r="D2890" s="5">
        <v>0</v>
      </c>
      <c r="E2890" s="5">
        <v>0</v>
      </c>
    </row>
    <row r="2891" spans="1:5">
      <c r="A2891" s="4" t="str">
        <f>"20228025513"</f>
        <v>20228025513</v>
      </c>
      <c r="B2891" s="4" t="str">
        <f t="shared" si="52"/>
        <v>20220203</v>
      </c>
      <c r="C2891" s="5">
        <v>0</v>
      </c>
      <c r="D2891" s="5">
        <v>0</v>
      </c>
      <c r="E2891" s="5">
        <v>0</v>
      </c>
    </row>
    <row r="2892" spans="1:5">
      <c r="A2892" s="4" t="str">
        <f>"20228025514"</f>
        <v>20228025514</v>
      </c>
      <c r="B2892" s="4" t="str">
        <f t="shared" ref="B2892:B2902" si="53">"20220214"</f>
        <v>20220214</v>
      </c>
      <c r="C2892" s="5">
        <v>0</v>
      </c>
      <c r="D2892" s="5">
        <v>0</v>
      </c>
      <c r="E2892" s="5">
        <v>0</v>
      </c>
    </row>
    <row r="2893" spans="1:5">
      <c r="A2893" s="4" t="str">
        <f>"20228025515"</f>
        <v>20228025515</v>
      </c>
      <c r="B2893" s="4" t="str">
        <f t="shared" si="53"/>
        <v>20220214</v>
      </c>
      <c r="C2893" s="5">
        <v>71.07</v>
      </c>
      <c r="D2893" s="5">
        <v>85.9</v>
      </c>
      <c r="E2893" s="5">
        <v>79.97</v>
      </c>
    </row>
    <row r="2894" spans="1:5">
      <c r="A2894" s="4" t="str">
        <f>"20228025516"</f>
        <v>20228025516</v>
      </c>
      <c r="B2894" s="4" t="str">
        <f t="shared" si="53"/>
        <v>20220214</v>
      </c>
      <c r="C2894" s="5">
        <v>0</v>
      </c>
      <c r="D2894" s="5">
        <v>0</v>
      </c>
      <c r="E2894" s="5">
        <v>0</v>
      </c>
    </row>
    <row r="2895" spans="1:5">
      <c r="A2895" s="4" t="str">
        <f>"20228025517"</f>
        <v>20228025517</v>
      </c>
      <c r="B2895" s="4" t="str">
        <f t="shared" si="53"/>
        <v>20220214</v>
      </c>
      <c r="C2895" s="5">
        <v>84.04</v>
      </c>
      <c r="D2895" s="5">
        <v>100.7</v>
      </c>
      <c r="E2895" s="5">
        <v>94.04</v>
      </c>
    </row>
    <row r="2896" spans="1:5">
      <c r="A2896" s="4" t="str">
        <f>"20228025518"</f>
        <v>20228025518</v>
      </c>
      <c r="B2896" s="4" t="str">
        <f t="shared" si="53"/>
        <v>20220214</v>
      </c>
      <c r="C2896" s="5">
        <v>69.36</v>
      </c>
      <c r="D2896" s="5">
        <v>88.3</v>
      </c>
      <c r="E2896" s="5">
        <v>80.72</v>
      </c>
    </row>
    <row r="2897" spans="1:5">
      <c r="A2897" s="4" t="str">
        <f>"20228025519"</f>
        <v>20228025519</v>
      </c>
      <c r="B2897" s="4" t="str">
        <f t="shared" si="53"/>
        <v>20220214</v>
      </c>
      <c r="C2897" s="5">
        <v>68.65</v>
      </c>
      <c r="D2897" s="5">
        <v>89.4</v>
      </c>
      <c r="E2897" s="5">
        <v>81.1</v>
      </c>
    </row>
    <row r="2898" spans="1:5">
      <c r="A2898" s="4" t="str">
        <f>"20228025520"</f>
        <v>20228025520</v>
      </c>
      <c r="B2898" s="4" t="str">
        <f t="shared" si="53"/>
        <v>20220214</v>
      </c>
      <c r="C2898" s="5">
        <v>72.93</v>
      </c>
      <c r="D2898" s="5">
        <v>86.3</v>
      </c>
      <c r="E2898" s="5">
        <v>80.95</v>
      </c>
    </row>
    <row r="2899" spans="1:5">
      <c r="A2899" s="4" t="str">
        <f>"20228025521"</f>
        <v>20228025521</v>
      </c>
      <c r="B2899" s="4" t="str">
        <f t="shared" si="53"/>
        <v>20220214</v>
      </c>
      <c r="C2899" s="5">
        <v>72.23</v>
      </c>
      <c r="D2899" s="5">
        <v>93.2</v>
      </c>
      <c r="E2899" s="5">
        <v>84.81</v>
      </c>
    </row>
    <row r="2900" spans="1:5">
      <c r="A2900" s="4" t="str">
        <f>"20228025522"</f>
        <v>20228025522</v>
      </c>
      <c r="B2900" s="4" t="str">
        <f t="shared" si="53"/>
        <v>20220214</v>
      </c>
      <c r="C2900" s="5">
        <v>86.13</v>
      </c>
      <c r="D2900" s="5">
        <v>98.2</v>
      </c>
      <c r="E2900" s="5">
        <v>93.37</v>
      </c>
    </row>
    <row r="2901" spans="1:5">
      <c r="A2901" s="4" t="str">
        <f>"20228025523"</f>
        <v>20228025523</v>
      </c>
      <c r="B2901" s="4" t="str">
        <f t="shared" si="53"/>
        <v>20220214</v>
      </c>
      <c r="C2901" s="5">
        <v>78.84</v>
      </c>
      <c r="D2901" s="5">
        <v>96.1</v>
      </c>
      <c r="E2901" s="5">
        <v>89.2</v>
      </c>
    </row>
    <row r="2902" spans="1:5">
      <c r="A2902" s="4" t="str">
        <f>"20228025524"</f>
        <v>20228025524</v>
      </c>
      <c r="B2902" s="4" t="str">
        <f t="shared" si="53"/>
        <v>20220214</v>
      </c>
      <c r="C2902" s="5">
        <v>0</v>
      </c>
      <c r="D2902" s="5">
        <v>0</v>
      </c>
      <c r="E2902" s="5">
        <v>0</v>
      </c>
    </row>
    <row r="2903" spans="1:5">
      <c r="A2903" s="4" t="str">
        <f>"20228025525"</f>
        <v>20228025525</v>
      </c>
      <c r="B2903" s="4" t="str">
        <f t="shared" ref="B2903:B2908" si="54">"20220311"</f>
        <v>20220311</v>
      </c>
      <c r="C2903" s="5">
        <v>0</v>
      </c>
      <c r="D2903" s="5">
        <v>0</v>
      </c>
      <c r="E2903" s="5">
        <v>0</v>
      </c>
    </row>
    <row r="2904" spans="1:5">
      <c r="A2904" s="4" t="str">
        <f>"20228025526"</f>
        <v>20228025526</v>
      </c>
      <c r="B2904" s="4" t="str">
        <f t="shared" si="54"/>
        <v>20220311</v>
      </c>
      <c r="C2904" s="5">
        <v>63.6</v>
      </c>
      <c r="D2904" s="5">
        <v>97.7</v>
      </c>
      <c r="E2904" s="5">
        <v>84.06</v>
      </c>
    </row>
    <row r="2905" spans="1:5">
      <c r="A2905" s="4" t="str">
        <f>"20228025527"</f>
        <v>20228025527</v>
      </c>
      <c r="B2905" s="4" t="str">
        <f t="shared" si="54"/>
        <v>20220311</v>
      </c>
      <c r="C2905" s="5">
        <v>70.9</v>
      </c>
      <c r="D2905" s="5">
        <v>94.3</v>
      </c>
      <c r="E2905" s="5">
        <v>84.94</v>
      </c>
    </row>
    <row r="2906" spans="1:5">
      <c r="A2906" s="4" t="str">
        <f>"20228025528"</f>
        <v>20228025528</v>
      </c>
      <c r="B2906" s="4" t="str">
        <f t="shared" si="54"/>
        <v>20220311</v>
      </c>
      <c r="C2906" s="5">
        <v>81.8</v>
      </c>
      <c r="D2906" s="5">
        <v>83.4</v>
      </c>
      <c r="E2906" s="5">
        <v>82.76</v>
      </c>
    </row>
    <row r="2907" spans="1:5">
      <c r="A2907" s="4" t="str">
        <f>"20228025529"</f>
        <v>20228025529</v>
      </c>
      <c r="B2907" s="4" t="str">
        <f t="shared" si="54"/>
        <v>20220311</v>
      </c>
      <c r="C2907" s="5">
        <v>100.7</v>
      </c>
      <c r="D2907" s="5">
        <v>103.1</v>
      </c>
      <c r="E2907" s="5">
        <v>102.14</v>
      </c>
    </row>
    <row r="2908" spans="1:5">
      <c r="A2908" s="4" t="str">
        <f>"20228025530"</f>
        <v>20228025530</v>
      </c>
      <c r="B2908" s="4" t="str">
        <f t="shared" si="54"/>
        <v>20220311</v>
      </c>
      <c r="C2908" s="5">
        <v>94.6</v>
      </c>
      <c r="D2908" s="5">
        <v>102.6</v>
      </c>
      <c r="E2908" s="5">
        <v>99.4</v>
      </c>
    </row>
    <row r="2909" spans="1:5">
      <c r="A2909" s="4" t="str">
        <f>"20228025601"</f>
        <v>20228025601</v>
      </c>
      <c r="B2909" s="4" t="str">
        <f t="shared" ref="B2909:B2924" si="55">"20220104"</f>
        <v>20220104</v>
      </c>
      <c r="C2909" s="5">
        <v>0</v>
      </c>
      <c r="D2909" s="5">
        <v>0</v>
      </c>
      <c r="E2909" s="5">
        <v>0</v>
      </c>
    </row>
    <row r="2910" spans="1:5">
      <c r="A2910" s="4" t="str">
        <f>"20228025602"</f>
        <v>20228025602</v>
      </c>
      <c r="B2910" s="4" t="str">
        <f t="shared" si="55"/>
        <v>20220104</v>
      </c>
      <c r="C2910" s="5">
        <v>95.55</v>
      </c>
      <c r="D2910" s="5">
        <v>88.3</v>
      </c>
      <c r="E2910" s="5">
        <v>91.2</v>
      </c>
    </row>
    <row r="2911" spans="1:5">
      <c r="A2911" s="4" t="str">
        <f>"20228025603"</f>
        <v>20228025603</v>
      </c>
      <c r="B2911" s="4" t="str">
        <f t="shared" si="55"/>
        <v>20220104</v>
      </c>
      <c r="C2911" s="5">
        <v>64.08</v>
      </c>
      <c r="D2911" s="5">
        <v>84.8</v>
      </c>
      <c r="E2911" s="5">
        <v>76.51</v>
      </c>
    </row>
    <row r="2912" spans="1:5">
      <c r="A2912" s="4" t="str">
        <f>"20228025604"</f>
        <v>20228025604</v>
      </c>
      <c r="B2912" s="4" t="str">
        <f t="shared" si="55"/>
        <v>20220104</v>
      </c>
      <c r="C2912" s="5">
        <v>0</v>
      </c>
      <c r="D2912" s="5">
        <v>0</v>
      </c>
      <c r="E2912" s="5">
        <v>0</v>
      </c>
    </row>
    <row r="2913" spans="1:5">
      <c r="A2913" s="4" t="str">
        <f>"20228025605"</f>
        <v>20228025605</v>
      </c>
      <c r="B2913" s="4" t="str">
        <f t="shared" si="55"/>
        <v>20220104</v>
      </c>
      <c r="C2913" s="5">
        <v>85.92</v>
      </c>
      <c r="D2913" s="5">
        <v>82.3</v>
      </c>
      <c r="E2913" s="5">
        <v>83.75</v>
      </c>
    </row>
    <row r="2914" spans="1:5">
      <c r="A2914" s="4" t="str">
        <f>"20228025606"</f>
        <v>20228025606</v>
      </c>
      <c r="B2914" s="4" t="str">
        <f t="shared" si="55"/>
        <v>20220104</v>
      </c>
      <c r="C2914" s="5">
        <v>0</v>
      </c>
      <c r="D2914" s="5">
        <v>0</v>
      </c>
      <c r="E2914" s="5">
        <v>0</v>
      </c>
    </row>
    <row r="2915" spans="1:5">
      <c r="A2915" s="4" t="str">
        <f>"20228025607"</f>
        <v>20228025607</v>
      </c>
      <c r="B2915" s="4" t="str">
        <f t="shared" si="55"/>
        <v>20220104</v>
      </c>
      <c r="C2915" s="5">
        <v>0</v>
      </c>
      <c r="D2915" s="5">
        <v>0</v>
      </c>
      <c r="E2915" s="5">
        <v>0</v>
      </c>
    </row>
    <row r="2916" spans="1:5">
      <c r="A2916" s="4" t="str">
        <f>"20228025608"</f>
        <v>20228025608</v>
      </c>
      <c r="B2916" s="4" t="str">
        <f t="shared" si="55"/>
        <v>20220104</v>
      </c>
      <c r="C2916" s="5">
        <v>74.77</v>
      </c>
      <c r="D2916" s="5">
        <v>57.3</v>
      </c>
      <c r="E2916" s="5">
        <v>64.29</v>
      </c>
    </row>
    <row r="2917" spans="1:5">
      <c r="A2917" s="4" t="str">
        <f>"20228025609"</f>
        <v>20228025609</v>
      </c>
      <c r="B2917" s="4" t="str">
        <f t="shared" si="55"/>
        <v>20220104</v>
      </c>
      <c r="C2917" s="5">
        <v>70.98</v>
      </c>
      <c r="D2917" s="5">
        <v>68.9</v>
      </c>
      <c r="E2917" s="5">
        <v>69.73</v>
      </c>
    </row>
    <row r="2918" spans="1:5">
      <c r="A2918" s="4" t="str">
        <f>"20228025610"</f>
        <v>20228025610</v>
      </c>
      <c r="B2918" s="4" t="str">
        <f t="shared" si="55"/>
        <v>20220104</v>
      </c>
      <c r="C2918" s="5">
        <v>71.25</v>
      </c>
      <c r="D2918" s="5">
        <v>62.9</v>
      </c>
      <c r="E2918" s="5">
        <v>66.24</v>
      </c>
    </row>
    <row r="2919" spans="1:5">
      <c r="A2919" s="4" t="str">
        <f>"20228025611"</f>
        <v>20228025611</v>
      </c>
      <c r="B2919" s="4" t="str">
        <f t="shared" si="55"/>
        <v>20220104</v>
      </c>
      <c r="C2919" s="5">
        <v>0</v>
      </c>
      <c r="D2919" s="5">
        <v>0</v>
      </c>
      <c r="E2919" s="5">
        <v>0</v>
      </c>
    </row>
    <row r="2920" spans="1:5">
      <c r="A2920" s="4" t="str">
        <f>"20228025612"</f>
        <v>20228025612</v>
      </c>
      <c r="B2920" s="4" t="str">
        <f t="shared" si="55"/>
        <v>20220104</v>
      </c>
      <c r="C2920" s="5">
        <v>85.38</v>
      </c>
      <c r="D2920" s="5">
        <v>88.4</v>
      </c>
      <c r="E2920" s="5">
        <v>87.19</v>
      </c>
    </row>
    <row r="2921" spans="1:5">
      <c r="A2921" s="4" t="str">
        <f>"20228025613"</f>
        <v>20228025613</v>
      </c>
      <c r="B2921" s="4" t="str">
        <f t="shared" si="55"/>
        <v>20220104</v>
      </c>
      <c r="C2921" s="5">
        <v>70.88</v>
      </c>
      <c r="D2921" s="5">
        <v>68.5</v>
      </c>
      <c r="E2921" s="5">
        <v>69.45</v>
      </c>
    </row>
    <row r="2922" spans="1:5">
      <c r="A2922" s="4" t="str">
        <f>"20228025614"</f>
        <v>20228025614</v>
      </c>
      <c r="B2922" s="4" t="str">
        <f t="shared" si="55"/>
        <v>20220104</v>
      </c>
      <c r="C2922" s="5">
        <v>0</v>
      </c>
      <c r="D2922" s="5">
        <v>0</v>
      </c>
      <c r="E2922" s="5">
        <v>0</v>
      </c>
    </row>
    <row r="2923" spans="1:5">
      <c r="A2923" s="4" t="str">
        <f>"20228025615"</f>
        <v>20228025615</v>
      </c>
      <c r="B2923" s="4" t="str">
        <f t="shared" si="55"/>
        <v>20220104</v>
      </c>
      <c r="C2923" s="5">
        <v>0</v>
      </c>
      <c r="D2923" s="5">
        <v>0</v>
      </c>
      <c r="E2923" s="5">
        <v>0</v>
      </c>
    </row>
    <row r="2924" spans="1:5">
      <c r="A2924" s="4" t="str">
        <f>"20228025616"</f>
        <v>20228025616</v>
      </c>
      <c r="B2924" s="4" t="str">
        <f t="shared" si="55"/>
        <v>20220104</v>
      </c>
      <c r="C2924" s="5">
        <v>0</v>
      </c>
      <c r="D2924" s="5">
        <v>0</v>
      </c>
      <c r="E2924" s="5">
        <v>0</v>
      </c>
    </row>
    <row r="2925" spans="1:5">
      <c r="A2925" s="4" t="str">
        <f>"20228025617"</f>
        <v>20228025617</v>
      </c>
      <c r="B2925" s="4" t="str">
        <f t="shared" ref="B2925:B2937" si="56">"20220204"</f>
        <v>20220204</v>
      </c>
      <c r="C2925" s="5">
        <v>76.54</v>
      </c>
      <c r="D2925" s="5">
        <v>52.6</v>
      </c>
      <c r="E2925" s="5">
        <v>62.18</v>
      </c>
    </row>
    <row r="2926" spans="1:5">
      <c r="A2926" s="4" t="str">
        <f>"20228025618"</f>
        <v>20228025618</v>
      </c>
      <c r="B2926" s="4" t="str">
        <f t="shared" si="56"/>
        <v>20220204</v>
      </c>
      <c r="C2926" s="5">
        <v>0</v>
      </c>
      <c r="D2926" s="5">
        <v>0</v>
      </c>
      <c r="E2926" s="5">
        <v>0</v>
      </c>
    </row>
    <row r="2927" spans="1:5">
      <c r="A2927" s="4" t="str">
        <f>"20228025619"</f>
        <v>20228025619</v>
      </c>
      <c r="B2927" s="4" t="str">
        <f t="shared" si="56"/>
        <v>20220204</v>
      </c>
      <c r="C2927" s="5">
        <v>0</v>
      </c>
      <c r="D2927" s="5">
        <v>0</v>
      </c>
      <c r="E2927" s="5">
        <v>0</v>
      </c>
    </row>
    <row r="2928" spans="1:5">
      <c r="A2928" s="4" t="str">
        <f>"20228025620"</f>
        <v>20228025620</v>
      </c>
      <c r="B2928" s="4" t="str">
        <f t="shared" si="56"/>
        <v>20220204</v>
      </c>
      <c r="C2928" s="5">
        <v>0</v>
      </c>
      <c r="D2928" s="5">
        <v>0</v>
      </c>
      <c r="E2928" s="5">
        <v>0</v>
      </c>
    </row>
    <row r="2929" spans="1:5">
      <c r="A2929" s="4" t="str">
        <f>"20228025621"</f>
        <v>20228025621</v>
      </c>
      <c r="B2929" s="4" t="str">
        <f t="shared" si="56"/>
        <v>20220204</v>
      </c>
      <c r="C2929" s="5">
        <v>0</v>
      </c>
      <c r="D2929" s="5">
        <v>0</v>
      </c>
      <c r="E2929" s="5">
        <v>0</v>
      </c>
    </row>
    <row r="2930" spans="1:5">
      <c r="A2930" s="4" t="str">
        <f>"20228025622"</f>
        <v>20228025622</v>
      </c>
      <c r="B2930" s="4" t="str">
        <f t="shared" si="56"/>
        <v>20220204</v>
      </c>
      <c r="C2930" s="5">
        <v>0</v>
      </c>
      <c r="D2930" s="5">
        <v>0</v>
      </c>
      <c r="E2930" s="5">
        <v>0</v>
      </c>
    </row>
    <row r="2931" spans="1:5">
      <c r="A2931" s="4" t="str">
        <f>"20228025623"</f>
        <v>20228025623</v>
      </c>
      <c r="B2931" s="4" t="str">
        <f t="shared" si="56"/>
        <v>20220204</v>
      </c>
      <c r="C2931" s="5">
        <v>0</v>
      </c>
      <c r="D2931" s="5">
        <v>41.3</v>
      </c>
      <c r="E2931" s="5">
        <v>24.78</v>
      </c>
    </row>
    <row r="2932" spans="1:5">
      <c r="A2932" s="4" t="str">
        <f>"20228025624"</f>
        <v>20228025624</v>
      </c>
      <c r="B2932" s="4" t="str">
        <f t="shared" si="56"/>
        <v>20220204</v>
      </c>
      <c r="C2932" s="5">
        <v>0</v>
      </c>
      <c r="D2932" s="5">
        <v>0</v>
      </c>
      <c r="E2932" s="5">
        <v>0</v>
      </c>
    </row>
    <row r="2933" spans="1:5">
      <c r="A2933" s="4" t="str">
        <f>"20228025625"</f>
        <v>20228025625</v>
      </c>
      <c r="B2933" s="4" t="str">
        <f t="shared" si="56"/>
        <v>20220204</v>
      </c>
      <c r="C2933" s="5">
        <v>0</v>
      </c>
      <c r="D2933" s="5">
        <v>0</v>
      </c>
      <c r="E2933" s="5">
        <v>0</v>
      </c>
    </row>
    <row r="2934" spans="1:5">
      <c r="A2934" s="4" t="str">
        <f>"20228025626"</f>
        <v>20228025626</v>
      </c>
      <c r="B2934" s="4" t="str">
        <f t="shared" si="56"/>
        <v>20220204</v>
      </c>
      <c r="C2934" s="5">
        <v>0</v>
      </c>
      <c r="D2934" s="5">
        <v>0</v>
      </c>
      <c r="E2934" s="5">
        <v>0</v>
      </c>
    </row>
    <row r="2935" spans="1:5">
      <c r="A2935" s="4" t="str">
        <f>"20228025627"</f>
        <v>20228025627</v>
      </c>
      <c r="B2935" s="4" t="str">
        <f t="shared" si="56"/>
        <v>20220204</v>
      </c>
      <c r="C2935" s="5">
        <v>69.53</v>
      </c>
      <c r="D2935" s="5">
        <v>54.8</v>
      </c>
      <c r="E2935" s="5">
        <v>60.69</v>
      </c>
    </row>
    <row r="2936" spans="1:5">
      <c r="A2936" s="4" t="str">
        <f>"20228025628"</f>
        <v>20228025628</v>
      </c>
      <c r="B2936" s="4" t="str">
        <f t="shared" si="56"/>
        <v>20220204</v>
      </c>
      <c r="C2936" s="5">
        <v>95.33</v>
      </c>
      <c r="D2936" s="5">
        <v>81.1</v>
      </c>
      <c r="E2936" s="5">
        <v>86.79</v>
      </c>
    </row>
    <row r="2937" spans="1:5">
      <c r="A2937" s="4" t="str">
        <f>"20228025629"</f>
        <v>20228025629</v>
      </c>
      <c r="B2937" s="4" t="str">
        <f t="shared" si="56"/>
        <v>20220204</v>
      </c>
      <c r="C2937" s="5">
        <v>85.92</v>
      </c>
      <c r="D2937" s="5">
        <v>65.2</v>
      </c>
      <c r="E2937" s="5">
        <v>73.49</v>
      </c>
    </row>
    <row r="2938" spans="1:5">
      <c r="A2938" s="4" t="str">
        <f>"20228025701"</f>
        <v>20228025701</v>
      </c>
      <c r="B2938" s="4" t="str">
        <f t="shared" ref="B2938:B3001" si="57">"20220105"</f>
        <v>20220105</v>
      </c>
      <c r="C2938" s="5">
        <v>0</v>
      </c>
      <c r="D2938" s="5">
        <v>0</v>
      </c>
      <c r="E2938" s="5">
        <v>0</v>
      </c>
    </row>
    <row r="2939" spans="1:5">
      <c r="A2939" s="4" t="str">
        <f>"20228025702"</f>
        <v>20228025702</v>
      </c>
      <c r="B2939" s="4" t="str">
        <f t="shared" si="57"/>
        <v>20220105</v>
      </c>
      <c r="C2939" s="5">
        <v>86.33</v>
      </c>
      <c r="D2939" s="5">
        <v>82.2</v>
      </c>
      <c r="E2939" s="5">
        <v>83.85</v>
      </c>
    </row>
    <row r="2940" spans="1:5">
      <c r="A2940" s="4" t="str">
        <f>"20228025703"</f>
        <v>20228025703</v>
      </c>
      <c r="B2940" s="4" t="str">
        <f t="shared" si="57"/>
        <v>20220105</v>
      </c>
      <c r="C2940" s="5">
        <v>75.92</v>
      </c>
      <c r="D2940" s="5">
        <v>73.1</v>
      </c>
      <c r="E2940" s="5">
        <v>74.23</v>
      </c>
    </row>
    <row r="2941" spans="1:5">
      <c r="A2941" s="4" t="str">
        <f>"20228025704"</f>
        <v>20228025704</v>
      </c>
      <c r="B2941" s="4" t="str">
        <f t="shared" si="57"/>
        <v>20220105</v>
      </c>
      <c r="C2941" s="5">
        <v>86.37</v>
      </c>
      <c r="D2941" s="5">
        <v>83.5</v>
      </c>
      <c r="E2941" s="5">
        <v>84.65</v>
      </c>
    </row>
    <row r="2942" spans="1:5">
      <c r="A2942" s="4" t="str">
        <f>"20228025705"</f>
        <v>20228025705</v>
      </c>
      <c r="B2942" s="4" t="str">
        <f t="shared" si="57"/>
        <v>20220105</v>
      </c>
      <c r="C2942" s="5">
        <v>0</v>
      </c>
      <c r="D2942" s="5">
        <v>0</v>
      </c>
      <c r="E2942" s="5">
        <v>0</v>
      </c>
    </row>
    <row r="2943" spans="1:5">
      <c r="A2943" s="4" t="str">
        <f>"20228025706"</f>
        <v>20228025706</v>
      </c>
      <c r="B2943" s="4" t="str">
        <f t="shared" si="57"/>
        <v>20220105</v>
      </c>
      <c r="C2943" s="5">
        <v>0</v>
      </c>
      <c r="D2943" s="5">
        <v>0</v>
      </c>
      <c r="E2943" s="5">
        <v>0</v>
      </c>
    </row>
    <row r="2944" spans="1:5">
      <c r="A2944" s="4" t="str">
        <f>"20228025707"</f>
        <v>20228025707</v>
      </c>
      <c r="B2944" s="4" t="str">
        <f t="shared" si="57"/>
        <v>20220105</v>
      </c>
      <c r="C2944" s="5">
        <v>80.9</v>
      </c>
      <c r="D2944" s="5">
        <v>73.1</v>
      </c>
      <c r="E2944" s="5">
        <v>76.22</v>
      </c>
    </row>
    <row r="2945" spans="1:5">
      <c r="A2945" s="4" t="str">
        <f>"20228025708"</f>
        <v>20228025708</v>
      </c>
      <c r="B2945" s="4" t="str">
        <f t="shared" si="57"/>
        <v>20220105</v>
      </c>
      <c r="C2945" s="5">
        <v>0</v>
      </c>
      <c r="D2945" s="5">
        <v>0</v>
      </c>
      <c r="E2945" s="5">
        <v>0</v>
      </c>
    </row>
    <row r="2946" spans="1:5">
      <c r="A2946" s="4" t="str">
        <f>"20228025709"</f>
        <v>20228025709</v>
      </c>
      <c r="B2946" s="4" t="str">
        <f t="shared" si="57"/>
        <v>20220105</v>
      </c>
      <c r="C2946" s="5">
        <v>0</v>
      </c>
      <c r="D2946" s="5">
        <v>0</v>
      </c>
      <c r="E2946" s="5">
        <v>0</v>
      </c>
    </row>
    <row r="2947" spans="1:5">
      <c r="A2947" s="4" t="str">
        <f>"20228025710"</f>
        <v>20228025710</v>
      </c>
      <c r="B2947" s="4" t="str">
        <f t="shared" si="57"/>
        <v>20220105</v>
      </c>
      <c r="C2947" s="5">
        <v>71.44</v>
      </c>
      <c r="D2947" s="5">
        <v>77.8</v>
      </c>
      <c r="E2947" s="5">
        <v>75.26</v>
      </c>
    </row>
    <row r="2948" spans="1:5">
      <c r="A2948" s="4" t="str">
        <f>"20228025711"</f>
        <v>20228025711</v>
      </c>
      <c r="B2948" s="4" t="str">
        <f t="shared" si="57"/>
        <v>20220105</v>
      </c>
      <c r="C2948" s="5">
        <v>0</v>
      </c>
      <c r="D2948" s="5">
        <v>0</v>
      </c>
      <c r="E2948" s="5">
        <v>0</v>
      </c>
    </row>
    <row r="2949" spans="1:5">
      <c r="A2949" s="4" t="str">
        <f>"20228025712"</f>
        <v>20228025712</v>
      </c>
      <c r="B2949" s="4" t="str">
        <f t="shared" si="57"/>
        <v>20220105</v>
      </c>
      <c r="C2949" s="5">
        <v>0</v>
      </c>
      <c r="D2949" s="5">
        <v>0</v>
      </c>
      <c r="E2949" s="5">
        <v>0</v>
      </c>
    </row>
    <row r="2950" spans="1:5">
      <c r="A2950" s="4" t="str">
        <f>"20228025713"</f>
        <v>20228025713</v>
      </c>
      <c r="B2950" s="4" t="str">
        <f t="shared" si="57"/>
        <v>20220105</v>
      </c>
      <c r="C2950" s="5">
        <v>0</v>
      </c>
      <c r="D2950" s="5">
        <v>0</v>
      </c>
      <c r="E2950" s="5">
        <v>0</v>
      </c>
    </row>
    <row r="2951" spans="1:5">
      <c r="A2951" s="4" t="str">
        <f>"20228025714"</f>
        <v>20228025714</v>
      </c>
      <c r="B2951" s="4" t="str">
        <f t="shared" si="57"/>
        <v>20220105</v>
      </c>
      <c r="C2951" s="5">
        <v>92.08</v>
      </c>
      <c r="D2951" s="5">
        <v>88.1</v>
      </c>
      <c r="E2951" s="5">
        <v>89.69</v>
      </c>
    </row>
    <row r="2952" spans="1:5">
      <c r="A2952" s="4" t="str">
        <f>"20228025715"</f>
        <v>20228025715</v>
      </c>
      <c r="B2952" s="4" t="str">
        <f t="shared" si="57"/>
        <v>20220105</v>
      </c>
      <c r="C2952" s="5">
        <v>0</v>
      </c>
      <c r="D2952" s="5">
        <v>0</v>
      </c>
      <c r="E2952" s="5">
        <v>0</v>
      </c>
    </row>
    <row r="2953" spans="1:5">
      <c r="A2953" s="4" t="str">
        <f>"20228025716"</f>
        <v>20228025716</v>
      </c>
      <c r="B2953" s="4" t="str">
        <f t="shared" si="57"/>
        <v>20220105</v>
      </c>
      <c r="C2953" s="5">
        <v>72.74</v>
      </c>
      <c r="D2953" s="5">
        <v>73.6</v>
      </c>
      <c r="E2953" s="5">
        <v>73.26</v>
      </c>
    </row>
    <row r="2954" spans="1:5">
      <c r="A2954" s="4" t="str">
        <f>"20228025717"</f>
        <v>20228025717</v>
      </c>
      <c r="B2954" s="4" t="str">
        <f t="shared" si="57"/>
        <v>20220105</v>
      </c>
      <c r="C2954" s="5">
        <v>71.75</v>
      </c>
      <c r="D2954" s="5">
        <v>61.3</v>
      </c>
      <c r="E2954" s="5">
        <v>65.48</v>
      </c>
    </row>
    <row r="2955" spans="1:5">
      <c r="A2955" s="4" t="str">
        <f>"20228025718"</f>
        <v>20228025718</v>
      </c>
      <c r="B2955" s="4" t="str">
        <f t="shared" si="57"/>
        <v>20220105</v>
      </c>
      <c r="C2955" s="5">
        <v>0</v>
      </c>
      <c r="D2955" s="5">
        <v>0</v>
      </c>
      <c r="E2955" s="5">
        <v>0</v>
      </c>
    </row>
    <row r="2956" spans="1:5">
      <c r="A2956" s="4" t="str">
        <f>"20228025719"</f>
        <v>20228025719</v>
      </c>
      <c r="B2956" s="4" t="str">
        <f t="shared" si="57"/>
        <v>20220105</v>
      </c>
      <c r="C2956" s="5">
        <v>0</v>
      </c>
      <c r="D2956" s="5">
        <v>0</v>
      </c>
      <c r="E2956" s="5">
        <v>0</v>
      </c>
    </row>
    <row r="2957" spans="1:5">
      <c r="A2957" s="4" t="str">
        <f>"20228025720"</f>
        <v>20228025720</v>
      </c>
      <c r="B2957" s="4" t="str">
        <f t="shared" si="57"/>
        <v>20220105</v>
      </c>
      <c r="C2957" s="5">
        <v>0</v>
      </c>
      <c r="D2957" s="5">
        <v>0</v>
      </c>
      <c r="E2957" s="5">
        <v>0</v>
      </c>
    </row>
    <row r="2958" spans="1:5">
      <c r="A2958" s="4" t="str">
        <f>"20228025721"</f>
        <v>20228025721</v>
      </c>
      <c r="B2958" s="4" t="str">
        <f t="shared" si="57"/>
        <v>20220105</v>
      </c>
      <c r="C2958" s="5">
        <v>0</v>
      </c>
      <c r="D2958" s="5">
        <v>0</v>
      </c>
      <c r="E2958" s="5">
        <v>0</v>
      </c>
    </row>
    <row r="2959" spans="1:5">
      <c r="A2959" s="4" t="str">
        <f>"20228025722"</f>
        <v>20228025722</v>
      </c>
      <c r="B2959" s="4" t="str">
        <f t="shared" si="57"/>
        <v>20220105</v>
      </c>
      <c r="C2959" s="5">
        <v>80.38</v>
      </c>
      <c r="D2959" s="5">
        <v>73.3</v>
      </c>
      <c r="E2959" s="5">
        <v>76.13</v>
      </c>
    </row>
    <row r="2960" spans="1:5">
      <c r="A2960" s="4" t="str">
        <f>"20228025723"</f>
        <v>20228025723</v>
      </c>
      <c r="B2960" s="4" t="str">
        <f t="shared" si="57"/>
        <v>20220105</v>
      </c>
      <c r="C2960" s="5">
        <v>86.5</v>
      </c>
      <c r="D2960" s="5">
        <v>89.3</v>
      </c>
      <c r="E2960" s="5">
        <v>88.18</v>
      </c>
    </row>
    <row r="2961" spans="1:5">
      <c r="A2961" s="4" t="str">
        <f>"20228025724"</f>
        <v>20228025724</v>
      </c>
      <c r="B2961" s="4" t="str">
        <f t="shared" si="57"/>
        <v>20220105</v>
      </c>
      <c r="C2961" s="5">
        <v>84.82</v>
      </c>
      <c r="D2961" s="5">
        <v>64.5</v>
      </c>
      <c r="E2961" s="5">
        <v>72.63</v>
      </c>
    </row>
    <row r="2962" spans="1:5">
      <c r="A2962" s="4" t="str">
        <f>"20228025725"</f>
        <v>20228025725</v>
      </c>
      <c r="B2962" s="4" t="str">
        <f t="shared" si="57"/>
        <v>20220105</v>
      </c>
      <c r="C2962" s="5">
        <v>83.68</v>
      </c>
      <c r="D2962" s="5">
        <v>75.2</v>
      </c>
      <c r="E2962" s="5">
        <v>78.59</v>
      </c>
    </row>
    <row r="2963" spans="1:5">
      <c r="A2963" s="4" t="str">
        <f>"20228025726"</f>
        <v>20228025726</v>
      </c>
      <c r="B2963" s="4" t="str">
        <f t="shared" si="57"/>
        <v>20220105</v>
      </c>
      <c r="C2963" s="5">
        <v>96.57</v>
      </c>
      <c r="D2963" s="5">
        <v>72.9</v>
      </c>
      <c r="E2963" s="5">
        <v>82.37</v>
      </c>
    </row>
    <row r="2964" spans="1:5">
      <c r="A2964" s="4" t="str">
        <f>"20228025727"</f>
        <v>20228025727</v>
      </c>
      <c r="B2964" s="4" t="str">
        <f t="shared" si="57"/>
        <v>20220105</v>
      </c>
      <c r="C2964" s="5">
        <v>0</v>
      </c>
      <c r="D2964" s="5">
        <v>0</v>
      </c>
      <c r="E2964" s="5">
        <v>0</v>
      </c>
    </row>
    <row r="2965" spans="1:5">
      <c r="A2965" s="4" t="str">
        <f>"20228025728"</f>
        <v>20228025728</v>
      </c>
      <c r="B2965" s="4" t="str">
        <f t="shared" si="57"/>
        <v>20220105</v>
      </c>
      <c r="C2965" s="5">
        <v>69.63</v>
      </c>
      <c r="D2965" s="5">
        <v>78.9</v>
      </c>
      <c r="E2965" s="5">
        <v>75.19</v>
      </c>
    </row>
    <row r="2966" spans="1:5">
      <c r="A2966" s="4" t="str">
        <f>"20228025729"</f>
        <v>20228025729</v>
      </c>
      <c r="B2966" s="4" t="str">
        <f t="shared" si="57"/>
        <v>20220105</v>
      </c>
      <c r="C2966" s="5">
        <v>0</v>
      </c>
      <c r="D2966" s="5">
        <v>0</v>
      </c>
      <c r="E2966" s="5">
        <v>0</v>
      </c>
    </row>
    <row r="2967" spans="1:5">
      <c r="A2967" s="4" t="str">
        <f>"20228025730"</f>
        <v>20228025730</v>
      </c>
      <c r="B2967" s="4" t="str">
        <f t="shared" si="57"/>
        <v>20220105</v>
      </c>
      <c r="C2967" s="5">
        <v>0</v>
      </c>
      <c r="D2967" s="5">
        <v>0</v>
      </c>
      <c r="E2967" s="5">
        <v>0</v>
      </c>
    </row>
    <row r="2968" spans="1:5">
      <c r="A2968" s="4" t="str">
        <f>"20228025801"</f>
        <v>20228025801</v>
      </c>
      <c r="B2968" s="4" t="str">
        <f t="shared" si="57"/>
        <v>20220105</v>
      </c>
      <c r="C2968" s="5">
        <v>0</v>
      </c>
      <c r="D2968" s="5">
        <v>0</v>
      </c>
      <c r="E2968" s="5">
        <v>0</v>
      </c>
    </row>
    <row r="2969" spans="1:5">
      <c r="A2969" s="4" t="str">
        <f>"20228025802"</f>
        <v>20228025802</v>
      </c>
      <c r="B2969" s="4" t="str">
        <f t="shared" si="57"/>
        <v>20220105</v>
      </c>
      <c r="C2969" s="5">
        <v>80.96</v>
      </c>
      <c r="D2969" s="5">
        <v>56.8</v>
      </c>
      <c r="E2969" s="5">
        <v>66.46</v>
      </c>
    </row>
    <row r="2970" spans="1:5">
      <c r="A2970" s="4" t="str">
        <f>"20228025803"</f>
        <v>20228025803</v>
      </c>
      <c r="B2970" s="4" t="str">
        <f t="shared" si="57"/>
        <v>20220105</v>
      </c>
      <c r="C2970" s="5">
        <v>0</v>
      </c>
      <c r="D2970" s="5">
        <v>0</v>
      </c>
      <c r="E2970" s="5">
        <v>0</v>
      </c>
    </row>
    <row r="2971" spans="1:5">
      <c r="A2971" s="4" t="str">
        <f>"20228025804"</f>
        <v>20228025804</v>
      </c>
      <c r="B2971" s="4" t="str">
        <f t="shared" si="57"/>
        <v>20220105</v>
      </c>
      <c r="C2971" s="5">
        <v>78.41</v>
      </c>
      <c r="D2971" s="5">
        <v>74</v>
      </c>
      <c r="E2971" s="5">
        <v>75.76</v>
      </c>
    </row>
    <row r="2972" spans="1:5">
      <c r="A2972" s="4" t="str">
        <f>"20228025805"</f>
        <v>20228025805</v>
      </c>
      <c r="B2972" s="4" t="str">
        <f t="shared" si="57"/>
        <v>20220105</v>
      </c>
      <c r="C2972" s="5">
        <v>0</v>
      </c>
      <c r="D2972" s="5">
        <v>0</v>
      </c>
      <c r="E2972" s="5">
        <v>0</v>
      </c>
    </row>
    <row r="2973" spans="1:5">
      <c r="A2973" s="4" t="str">
        <f>"20228025806"</f>
        <v>20228025806</v>
      </c>
      <c r="B2973" s="4" t="str">
        <f t="shared" si="57"/>
        <v>20220105</v>
      </c>
      <c r="C2973" s="5">
        <v>88.05</v>
      </c>
      <c r="D2973" s="5">
        <v>83.1</v>
      </c>
      <c r="E2973" s="5">
        <v>85.08</v>
      </c>
    </row>
    <row r="2974" spans="1:5">
      <c r="A2974" s="4" t="str">
        <f>"20228025807"</f>
        <v>20228025807</v>
      </c>
      <c r="B2974" s="4" t="str">
        <f t="shared" si="57"/>
        <v>20220105</v>
      </c>
      <c r="C2974" s="5">
        <v>84.23</v>
      </c>
      <c r="D2974" s="5">
        <v>87.9</v>
      </c>
      <c r="E2974" s="5">
        <v>86.43</v>
      </c>
    </row>
    <row r="2975" spans="1:5">
      <c r="A2975" s="4" t="str">
        <f>"20228025808"</f>
        <v>20228025808</v>
      </c>
      <c r="B2975" s="4" t="str">
        <f t="shared" si="57"/>
        <v>20220105</v>
      </c>
      <c r="C2975" s="5">
        <v>0</v>
      </c>
      <c r="D2975" s="5">
        <v>0</v>
      </c>
      <c r="E2975" s="5">
        <v>0</v>
      </c>
    </row>
    <row r="2976" spans="1:5">
      <c r="A2976" s="4" t="str">
        <f>"20228025809"</f>
        <v>20228025809</v>
      </c>
      <c r="B2976" s="4" t="str">
        <f t="shared" si="57"/>
        <v>20220105</v>
      </c>
      <c r="C2976" s="5">
        <v>82.4</v>
      </c>
      <c r="D2976" s="5">
        <v>79.7</v>
      </c>
      <c r="E2976" s="5">
        <v>80.78</v>
      </c>
    </row>
    <row r="2977" spans="1:5">
      <c r="A2977" s="4" t="str">
        <f>"20228025810"</f>
        <v>20228025810</v>
      </c>
      <c r="B2977" s="4" t="str">
        <f t="shared" si="57"/>
        <v>20220105</v>
      </c>
      <c r="C2977" s="5">
        <v>0</v>
      </c>
      <c r="D2977" s="5">
        <v>0</v>
      </c>
      <c r="E2977" s="5">
        <v>0</v>
      </c>
    </row>
    <row r="2978" spans="1:5">
      <c r="A2978" s="4" t="str">
        <f>"20228025811"</f>
        <v>20228025811</v>
      </c>
      <c r="B2978" s="4" t="str">
        <f t="shared" si="57"/>
        <v>20220105</v>
      </c>
      <c r="C2978" s="5">
        <v>84.35</v>
      </c>
      <c r="D2978" s="5">
        <v>86.1</v>
      </c>
      <c r="E2978" s="5">
        <v>85.4</v>
      </c>
    </row>
    <row r="2979" spans="1:5">
      <c r="A2979" s="4" t="str">
        <f>"20228025812"</f>
        <v>20228025812</v>
      </c>
      <c r="B2979" s="4" t="str">
        <f t="shared" si="57"/>
        <v>20220105</v>
      </c>
      <c r="C2979" s="5">
        <v>0</v>
      </c>
      <c r="D2979" s="5">
        <v>0</v>
      </c>
      <c r="E2979" s="5">
        <v>0</v>
      </c>
    </row>
    <row r="2980" spans="1:5">
      <c r="A2980" s="4" t="str">
        <f>"20228025813"</f>
        <v>20228025813</v>
      </c>
      <c r="B2980" s="4" t="str">
        <f t="shared" si="57"/>
        <v>20220105</v>
      </c>
      <c r="C2980" s="5">
        <v>67.32</v>
      </c>
      <c r="D2980" s="5">
        <v>87.4</v>
      </c>
      <c r="E2980" s="5">
        <v>79.37</v>
      </c>
    </row>
    <row r="2981" spans="1:5">
      <c r="A2981" s="4" t="str">
        <f>"20228025814"</f>
        <v>20228025814</v>
      </c>
      <c r="B2981" s="4" t="str">
        <f t="shared" si="57"/>
        <v>20220105</v>
      </c>
      <c r="C2981" s="5">
        <v>0</v>
      </c>
      <c r="D2981" s="5">
        <v>0</v>
      </c>
      <c r="E2981" s="5">
        <v>0</v>
      </c>
    </row>
    <row r="2982" spans="1:5">
      <c r="A2982" s="4" t="str">
        <f>"20228025815"</f>
        <v>20228025815</v>
      </c>
      <c r="B2982" s="4" t="str">
        <f t="shared" si="57"/>
        <v>20220105</v>
      </c>
      <c r="C2982" s="5">
        <v>0</v>
      </c>
      <c r="D2982" s="5">
        <v>0</v>
      </c>
      <c r="E2982" s="5">
        <v>0</v>
      </c>
    </row>
    <row r="2983" spans="1:5">
      <c r="A2983" s="4" t="str">
        <f>"20228025816"</f>
        <v>20228025816</v>
      </c>
      <c r="B2983" s="4" t="str">
        <f t="shared" si="57"/>
        <v>20220105</v>
      </c>
      <c r="C2983" s="5">
        <v>74.55</v>
      </c>
      <c r="D2983" s="5">
        <v>62.3</v>
      </c>
      <c r="E2983" s="5">
        <v>67.2</v>
      </c>
    </row>
    <row r="2984" spans="1:5">
      <c r="A2984" s="4" t="str">
        <f>"20228025817"</f>
        <v>20228025817</v>
      </c>
      <c r="B2984" s="4" t="str">
        <f t="shared" si="57"/>
        <v>20220105</v>
      </c>
      <c r="C2984" s="5">
        <v>74.64</v>
      </c>
      <c r="D2984" s="5">
        <v>79.2</v>
      </c>
      <c r="E2984" s="5">
        <v>77.38</v>
      </c>
    </row>
    <row r="2985" spans="1:5">
      <c r="A2985" s="4" t="str">
        <f>"20228025818"</f>
        <v>20228025818</v>
      </c>
      <c r="B2985" s="4" t="str">
        <f t="shared" si="57"/>
        <v>20220105</v>
      </c>
      <c r="C2985" s="5">
        <v>73.4</v>
      </c>
      <c r="D2985" s="5">
        <v>58.4</v>
      </c>
      <c r="E2985" s="5">
        <v>64.4</v>
      </c>
    </row>
    <row r="2986" spans="1:5">
      <c r="A2986" s="4" t="str">
        <f>"20228025819"</f>
        <v>20228025819</v>
      </c>
      <c r="B2986" s="4" t="str">
        <f t="shared" si="57"/>
        <v>20220105</v>
      </c>
      <c r="C2986" s="5">
        <v>88.83</v>
      </c>
      <c r="D2986" s="5">
        <v>95.7</v>
      </c>
      <c r="E2986" s="5">
        <v>92.95</v>
      </c>
    </row>
    <row r="2987" spans="1:5">
      <c r="A2987" s="4" t="str">
        <f>"20228025820"</f>
        <v>20228025820</v>
      </c>
      <c r="B2987" s="4" t="str">
        <f t="shared" si="57"/>
        <v>20220105</v>
      </c>
      <c r="C2987" s="5">
        <v>85.57</v>
      </c>
      <c r="D2987" s="5">
        <v>96.8</v>
      </c>
      <c r="E2987" s="5">
        <v>92.31</v>
      </c>
    </row>
    <row r="2988" spans="1:5">
      <c r="A2988" s="4" t="str">
        <f>"20228025821"</f>
        <v>20228025821</v>
      </c>
      <c r="B2988" s="4" t="str">
        <f t="shared" si="57"/>
        <v>20220105</v>
      </c>
      <c r="C2988" s="5">
        <v>69.42</v>
      </c>
      <c r="D2988" s="5">
        <v>88</v>
      </c>
      <c r="E2988" s="5">
        <v>80.57</v>
      </c>
    </row>
    <row r="2989" spans="1:5">
      <c r="A2989" s="4" t="str">
        <f>"20228025822"</f>
        <v>20228025822</v>
      </c>
      <c r="B2989" s="4" t="str">
        <f t="shared" si="57"/>
        <v>20220105</v>
      </c>
      <c r="C2989" s="5">
        <v>0</v>
      </c>
      <c r="D2989" s="5">
        <v>0</v>
      </c>
      <c r="E2989" s="5">
        <v>0</v>
      </c>
    </row>
    <row r="2990" spans="1:5">
      <c r="A2990" s="4" t="str">
        <f>"20228025823"</f>
        <v>20228025823</v>
      </c>
      <c r="B2990" s="4" t="str">
        <f t="shared" si="57"/>
        <v>20220105</v>
      </c>
      <c r="C2990" s="5">
        <v>88.94</v>
      </c>
      <c r="D2990" s="5">
        <v>82.7</v>
      </c>
      <c r="E2990" s="5">
        <v>85.2</v>
      </c>
    </row>
    <row r="2991" spans="1:5">
      <c r="A2991" s="4" t="str">
        <f>"20228025824"</f>
        <v>20228025824</v>
      </c>
      <c r="B2991" s="4" t="str">
        <f t="shared" si="57"/>
        <v>20220105</v>
      </c>
      <c r="C2991" s="5">
        <v>72.07</v>
      </c>
      <c r="D2991" s="5">
        <v>88.6</v>
      </c>
      <c r="E2991" s="5">
        <v>81.99</v>
      </c>
    </row>
    <row r="2992" spans="1:5">
      <c r="A2992" s="4" t="str">
        <f>"20228025825"</f>
        <v>20228025825</v>
      </c>
      <c r="B2992" s="4" t="str">
        <f t="shared" si="57"/>
        <v>20220105</v>
      </c>
      <c r="C2992" s="5">
        <v>93.77</v>
      </c>
      <c r="D2992" s="5">
        <v>86.4</v>
      </c>
      <c r="E2992" s="5">
        <v>89.35</v>
      </c>
    </row>
    <row r="2993" spans="1:5">
      <c r="A2993" s="4" t="str">
        <f>"20228025826"</f>
        <v>20228025826</v>
      </c>
      <c r="B2993" s="4" t="str">
        <f t="shared" si="57"/>
        <v>20220105</v>
      </c>
      <c r="C2993" s="5">
        <v>94.41</v>
      </c>
      <c r="D2993" s="5">
        <v>89.6</v>
      </c>
      <c r="E2993" s="5">
        <v>91.52</v>
      </c>
    </row>
    <row r="2994" spans="1:5">
      <c r="A2994" s="4" t="str">
        <f>"20228025827"</f>
        <v>20228025827</v>
      </c>
      <c r="B2994" s="4" t="str">
        <f t="shared" si="57"/>
        <v>20220105</v>
      </c>
      <c r="C2994" s="5">
        <v>0</v>
      </c>
      <c r="D2994" s="5">
        <v>0</v>
      </c>
      <c r="E2994" s="5">
        <v>0</v>
      </c>
    </row>
    <row r="2995" spans="1:5">
      <c r="A2995" s="4" t="str">
        <f>"20228025828"</f>
        <v>20228025828</v>
      </c>
      <c r="B2995" s="4" t="str">
        <f t="shared" si="57"/>
        <v>20220105</v>
      </c>
      <c r="C2995" s="5">
        <v>98.88</v>
      </c>
      <c r="D2995" s="5">
        <v>96.7</v>
      </c>
      <c r="E2995" s="5">
        <v>97.57</v>
      </c>
    </row>
    <row r="2996" spans="1:5">
      <c r="A2996" s="4" t="str">
        <f>"20228025829"</f>
        <v>20228025829</v>
      </c>
      <c r="B2996" s="4" t="str">
        <f t="shared" si="57"/>
        <v>20220105</v>
      </c>
      <c r="C2996" s="5">
        <v>0</v>
      </c>
      <c r="D2996" s="5">
        <v>0</v>
      </c>
      <c r="E2996" s="5">
        <v>0</v>
      </c>
    </row>
    <row r="2997" spans="1:5">
      <c r="A2997" s="4" t="str">
        <f>"20228025830"</f>
        <v>20228025830</v>
      </c>
      <c r="B2997" s="4" t="str">
        <f t="shared" si="57"/>
        <v>20220105</v>
      </c>
      <c r="C2997" s="5">
        <v>77.92</v>
      </c>
      <c r="D2997" s="5">
        <v>77.1</v>
      </c>
      <c r="E2997" s="5">
        <v>77.43</v>
      </c>
    </row>
    <row r="2998" spans="1:5">
      <c r="A2998" s="4" t="str">
        <f>"20228025901"</f>
        <v>20228025901</v>
      </c>
      <c r="B2998" s="4" t="str">
        <f t="shared" si="57"/>
        <v>20220105</v>
      </c>
      <c r="C2998" s="5">
        <v>69.32</v>
      </c>
      <c r="D2998" s="5">
        <v>73.6</v>
      </c>
      <c r="E2998" s="5">
        <v>71.89</v>
      </c>
    </row>
    <row r="2999" spans="1:5">
      <c r="A2999" s="4" t="str">
        <f>"20228025902"</f>
        <v>20228025902</v>
      </c>
      <c r="B2999" s="4" t="str">
        <f t="shared" si="57"/>
        <v>20220105</v>
      </c>
      <c r="C2999" s="5">
        <v>84.38</v>
      </c>
      <c r="D2999" s="5">
        <v>76.2</v>
      </c>
      <c r="E2999" s="5">
        <v>79.47</v>
      </c>
    </row>
    <row r="3000" spans="1:5">
      <c r="A3000" s="4" t="str">
        <f>"20228025903"</f>
        <v>20228025903</v>
      </c>
      <c r="B3000" s="4" t="str">
        <f t="shared" si="57"/>
        <v>20220105</v>
      </c>
      <c r="C3000" s="5">
        <v>0</v>
      </c>
      <c r="D3000" s="5">
        <v>0</v>
      </c>
      <c r="E3000" s="5">
        <v>0</v>
      </c>
    </row>
    <row r="3001" spans="1:5">
      <c r="A3001" s="4" t="str">
        <f>"20228025904"</f>
        <v>20228025904</v>
      </c>
      <c r="B3001" s="4" t="str">
        <f t="shared" si="57"/>
        <v>20220105</v>
      </c>
      <c r="C3001" s="5">
        <v>78.45</v>
      </c>
      <c r="D3001" s="5">
        <v>85.6</v>
      </c>
      <c r="E3001" s="5">
        <v>82.74</v>
      </c>
    </row>
    <row r="3002" spans="1:5">
      <c r="A3002" s="4" t="str">
        <f>"20228025905"</f>
        <v>20228025905</v>
      </c>
      <c r="B3002" s="4" t="str">
        <f t="shared" ref="B3002:B3059" si="58">"20220105"</f>
        <v>20220105</v>
      </c>
      <c r="C3002" s="5">
        <v>0</v>
      </c>
      <c r="D3002" s="5">
        <v>0</v>
      </c>
      <c r="E3002" s="5">
        <v>0</v>
      </c>
    </row>
    <row r="3003" spans="1:5">
      <c r="A3003" s="4" t="str">
        <f>"20228025906"</f>
        <v>20228025906</v>
      </c>
      <c r="B3003" s="4" t="str">
        <f t="shared" si="58"/>
        <v>20220105</v>
      </c>
      <c r="C3003" s="5">
        <v>76.66</v>
      </c>
      <c r="D3003" s="5">
        <v>93.2</v>
      </c>
      <c r="E3003" s="5">
        <v>86.58</v>
      </c>
    </row>
    <row r="3004" spans="1:5">
      <c r="A3004" s="4" t="str">
        <f>"20228025907"</f>
        <v>20228025907</v>
      </c>
      <c r="B3004" s="4" t="str">
        <f t="shared" si="58"/>
        <v>20220105</v>
      </c>
      <c r="C3004" s="5">
        <v>0</v>
      </c>
      <c r="D3004" s="5">
        <v>0</v>
      </c>
      <c r="E3004" s="5">
        <v>0</v>
      </c>
    </row>
    <row r="3005" spans="1:5">
      <c r="A3005" s="4" t="str">
        <f>"20228025908"</f>
        <v>20228025908</v>
      </c>
      <c r="B3005" s="4" t="str">
        <f t="shared" si="58"/>
        <v>20220105</v>
      </c>
      <c r="C3005" s="5">
        <v>92.55</v>
      </c>
      <c r="D3005" s="5">
        <v>84.7</v>
      </c>
      <c r="E3005" s="5">
        <v>87.84</v>
      </c>
    </row>
    <row r="3006" spans="1:5">
      <c r="A3006" s="4" t="str">
        <f>"20228025909"</f>
        <v>20228025909</v>
      </c>
      <c r="B3006" s="4" t="str">
        <f t="shared" si="58"/>
        <v>20220105</v>
      </c>
      <c r="C3006" s="5">
        <v>77.44</v>
      </c>
      <c r="D3006" s="5">
        <v>69.5</v>
      </c>
      <c r="E3006" s="5">
        <v>72.68</v>
      </c>
    </row>
    <row r="3007" spans="1:5">
      <c r="A3007" s="4" t="str">
        <f>"20228025910"</f>
        <v>20228025910</v>
      </c>
      <c r="B3007" s="4" t="str">
        <f t="shared" si="58"/>
        <v>20220105</v>
      </c>
      <c r="C3007" s="5">
        <v>0</v>
      </c>
      <c r="D3007" s="5">
        <v>0</v>
      </c>
      <c r="E3007" s="5">
        <v>0</v>
      </c>
    </row>
    <row r="3008" spans="1:5">
      <c r="A3008" s="4" t="str">
        <f>"20228025911"</f>
        <v>20228025911</v>
      </c>
      <c r="B3008" s="4" t="str">
        <f t="shared" si="58"/>
        <v>20220105</v>
      </c>
      <c r="C3008" s="5">
        <v>0</v>
      </c>
      <c r="D3008" s="5">
        <v>0</v>
      </c>
      <c r="E3008" s="5">
        <v>0</v>
      </c>
    </row>
    <row r="3009" spans="1:5">
      <c r="A3009" s="4" t="str">
        <f>"20228025912"</f>
        <v>20228025912</v>
      </c>
      <c r="B3009" s="4" t="str">
        <f t="shared" si="58"/>
        <v>20220105</v>
      </c>
      <c r="C3009" s="5">
        <v>0</v>
      </c>
      <c r="D3009" s="5">
        <v>0</v>
      </c>
      <c r="E3009" s="5">
        <v>0</v>
      </c>
    </row>
    <row r="3010" spans="1:5">
      <c r="A3010" s="4" t="str">
        <f>"20228025913"</f>
        <v>20228025913</v>
      </c>
      <c r="B3010" s="4" t="str">
        <f t="shared" si="58"/>
        <v>20220105</v>
      </c>
      <c r="C3010" s="5">
        <v>93.24</v>
      </c>
      <c r="D3010" s="5">
        <v>75.2</v>
      </c>
      <c r="E3010" s="5">
        <v>82.42</v>
      </c>
    </row>
    <row r="3011" spans="1:5">
      <c r="A3011" s="4" t="str">
        <f>"20228025914"</f>
        <v>20228025914</v>
      </c>
      <c r="B3011" s="4" t="str">
        <f t="shared" si="58"/>
        <v>20220105</v>
      </c>
      <c r="C3011" s="5">
        <v>0</v>
      </c>
      <c r="D3011" s="5">
        <v>0</v>
      </c>
      <c r="E3011" s="5">
        <v>0</v>
      </c>
    </row>
    <row r="3012" spans="1:5">
      <c r="A3012" s="4" t="str">
        <f>"20228025915"</f>
        <v>20228025915</v>
      </c>
      <c r="B3012" s="4" t="str">
        <f t="shared" si="58"/>
        <v>20220105</v>
      </c>
      <c r="C3012" s="5">
        <v>81.78</v>
      </c>
      <c r="D3012" s="5">
        <v>81.4</v>
      </c>
      <c r="E3012" s="5">
        <v>81.55</v>
      </c>
    </row>
    <row r="3013" spans="1:5">
      <c r="A3013" s="4" t="str">
        <f>"20228025916"</f>
        <v>20228025916</v>
      </c>
      <c r="B3013" s="4" t="str">
        <f t="shared" si="58"/>
        <v>20220105</v>
      </c>
      <c r="C3013" s="5">
        <v>87.41</v>
      </c>
      <c r="D3013" s="5">
        <v>96.3</v>
      </c>
      <c r="E3013" s="5">
        <v>92.74</v>
      </c>
    </row>
    <row r="3014" spans="1:5">
      <c r="A3014" s="4" t="str">
        <f>"20228025917"</f>
        <v>20228025917</v>
      </c>
      <c r="B3014" s="4" t="str">
        <f t="shared" si="58"/>
        <v>20220105</v>
      </c>
      <c r="C3014" s="5">
        <v>0</v>
      </c>
      <c r="D3014" s="5">
        <v>0</v>
      </c>
      <c r="E3014" s="5">
        <v>0</v>
      </c>
    </row>
    <row r="3015" spans="1:5">
      <c r="A3015" s="4" t="str">
        <f>"20228025918"</f>
        <v>20228025918</v>
      </c>
      <c r="B3015" s="4" t="str">
        <f t="shared" si="58"/>
        <v>20220105</v>
      </c>
      <c r="C3015" s="5">
        <v>83.24</v>
      </c>
      <c r="D3015" s="5">
        <v>92.1</v>
      </c>
      <c r="E3015" s="5">
        <v>88.56</v>
      </c>
    </row>
    <row r="3016" spans="1:5">
      <c r="A3016" s="4" t="str">
        <f>"20228025919"</f>
        <v>20228025919</v>
      </c>
      <c r="B3016" s="4" t="str">
        <f t="shared" si="58"/>
        <v>20220105</v>
      </c>
      <c r="C3016" s="5">
        <v>73.42</v>
      </c>
      <c r="D3016" s="5">
        <v>75.8</v>
      </c>
      <c r="E3016" s="5">
        <v>74.85</v>
      </c>
    </row>
    <row r="3017" spans="1:5">
      <c r="A3017" s="4" t="str">
        <f>"20228025920"</f>
        <v>20228025920</v>
      </c>
      <c r="B3017" s="4" t="str">
        <f t="shared" si="58"/>
        <v>20220105</v>
      </c>
      <c r="C3017" s="5">
        <v>88.46</v>
      </c>
      <c r="D3017" s="5">
        <v>90.6</v>
      </c>
      <c r="E3017" s="5">
        <v>89.74</v>
      </c>
    </row>
    <row r="3018" spans="1:5">
      <c r="A3018" s="4" t="str">
        <f>"20228025921"</f>
        <v>20228025921</v>
      </c>
      <c r="B3018" s="4" t="str">
        <f t="shared" si="58"/>
        <v>20220105</v>
      </c>
      <c r="C3018" s="5">
        <v>0</v>
      </c>
      <c r="D3018" s="5">
        <v>0</v>
      </c>
      <c r="E3018" s="5">
        <v>0</v>
      </c>
    </row>
    <row r="3019" spans="1:5">
      <c r="A3019" s="4" t="str">
        <f>"20228025922"</f>
        <v>20228025922</v>
      </c>
      <c r="B3019" s="4" t="str">
        <f t="shared" si="58"/>
        <v>20220105</v>
      </c>
      <c r="C3019" s="5">
        <v>82.65</v>
      </c>
      <c r="D3019" s="5">
        <v>89.7</v>
      </c>
      <c r="E3019" s="5">
        <v>86.88</v>
      </c>
    </row>
    <row r="3020" spans="1:5">
      <c r="A3020" s="4" t="str">
        <f>"20228025923"</f>
        <v>20228025923</v>
      </c>
      <c r="B3020" s="4" t="str">
        <f t="shared" si="58"/>
        <v>20220105</v>
      </c>
      <c r="C3020" s="5">
        <v>0</v>
      </c>
      <c r="D3020" s="5">
        <v>0</v>
      </c>
      <c r="E3020" s="5">
        <v>0</v>
      </c>
    </row>
    <row r="3021" spans="1:5">
      <c r="A3021" s="4" t="str">
        <f>"20228025924"</f>
        <v>20228025924</v>
      </c>
      <c r="B3021" s="4" t="str">
        <f t="shared" si="58"/>
        <v>20220105</v>
      </c>
      <c r="C3021" s="5">
        <v>86.83</v>
      </c>
      <c r="D3021" s="5">
        <v>92.5</v>
      </c>
      <c r="E3021" s="5">
        <v>90.23</v>
      </c>
    </row>
    <row r="3022" spans="1:5">
      <c r="A3022" s="4" t="str">
        <f>"20228025925"</f>
        <v>20228025925</v>
      </c>
      <c r="B3022" s="4" t="str">
        <f t="shared" si="58"/>
        <v>20220105</v>
      </c>
      <c r="C3022" s="5">
        <v>0</v>
      </c>
      <c r="D3022" s="5">
        <v>0</v>
      </c>
      <c r="E3022" s="5">
        <v>0</v>
      </c>
    </row>
    <row r="3023" spans="1:5">
      <c r="A3023" s="4" t="str">
        <f>"20228025926"</f>
        <v>20228025926</v>
      </c>
      <c r="B3023" s="4" t="str">
        <f t="shared" si="58"/>
        <v>20220105</v>
      </c>
      <c r="C3023" s="5">
        <v>84.57</v>
      </c>
      <c r="D3023" s="5">
        <v>71.4</v>
      </c>
      <c r="E3023" s="5">
        <v>76.67</v>
      </c>
    </row>
    <row r="3024" spans="1:5">
      <c r="A3024" s="4" t="str">
        <f>"20228025927"</f>
        <v>20228025927</v>
      </c>
      <c r="B3024" s="4" t="str">
        <f t="shared" si="58"/>
        <v>20220105</v>
      </c>
      <c r="C3024" s="5">
        <v>75.39</v>
      </c>
      <c r="D3024" s="5">
        <v>79.3</v>
      </c>
      <c r="E3024" s="5">
        <v>77.74</v>
      </c>
    </row>
    <row r="3025" spans="1:5">
      <c r="A3025" s="4" t="str">
        <f>"20228025928"</f>
        <v>20228025928</v>
      </c>
      <c r="B3025" s="4" t="str">
        <f t="shared" si="58"/>
        <v>20220105</v>
      </c>
      <c r="C3025" s="5">
        <v>0</v>
      </c>
      <c r="D3025" s="5">
        <v>0</v>
      </c>
      <c r="E3025" s="5">
        <v>0</v>
      </c>
    </row>
    <row r="3026" spans="1:5">
      <c r="A3026" s="4" t="str">
        <f>"20228025929"</f>
        <v>20228025929</v>
      </c>
      <c r="B3026" s="4" t="str">
        <f t="shared" si="58"/>
        <v>20220105</v>
      </c>
      <c r="C3026" s="5">
        <v>0</v>
      </c>
      <c r="D3026" s="5">
        <v>0</v>
      </c>
      <c r="E3026" s="5">
        <v>0</v>
      </c>
    </row>
    <row r="3027" spans="1:5">
      <c r="A3027" s="4" t="str">
        <f>"20228025930"</f>
        <v>20228025930</v>
      </c>
      <c r="B3027" s="4" t="str">
        <f t="shared" si="58"/>
        <v>20220105</v>
      </c>
      <c r="C3027" s="5">
        <v>76.83</v>
      </c>
      <c r="D3027" s="5">
        <v>94.9</v>
      </c>
      <c r="E3027" s="5">
        <v>87.67</v>
      </c>
    </row>
    <row r="3028" spans="1:5">
      <c r="A3028" s="4" t="str">
        <f>"20228026001"</f>
        <v>20228026001</v>
      </c>
      <c r="B3028" s="4" t="str">
        <f t="shared" si="58"/>
        <v>20220105</v>
      </c>
      <c r="C3028" s="5">
        <v>68.1</v>
      </c>
      <c r="D3028" s="5">
        <v>93.1</v>
      </c>
      <c r="E3028" s="5">
        <v>83.1</v>
      </c>
    </row>
    <row r="3029" spans="1:5">
      <c r="A3029" s="4" t="str">
        <f>"20228026002"</f>
        <v>20228026002</v>
      </c>
      <c r="B3029" s="4" t="str">
        <f t="shared" si="58"/>
        <v>20220105</v>
      </c>
      <c r="C3029" s="5">
        <v>83.19</v>
      </c>
      <c r="D3029" s="5">
        <v>94.9</v>
      </c>
      <c r="E3029" s="5">
        <v>90.22</v>
      </c>
    </row>
    <row r="3030" spans="1:5">
      <c r="A3030" s="4" t="str">
        <f>"20228026003"</f>
        <v>20228026003</v>
      </c>
      <c r="B3030" s="4" t="str">
        <f t="shared" si="58"/>
        <v>20220105</v>
      </c>
      <c r="C3030" s="5">
        <v>0</v>
      </c>
      <c r="D3030" s="5">
        <v>0</v>
      </c>
      <c r="E3030" s="5">
        <v>0</v>
      </c>
    </row>
    <row r="3031" spans="1:5">
      <c r="A3031" s="4" t="str">
        <f>"20228026004"</f>
        <v>20228026004</v>
      </c>
      <c r="B3031" s="4" t="str">
        <f t="shared" si="58"/>
        <v>20220105</v>
      </c>
      <c r="C3031" s="5">
        <v>0</v>
      </c>
      <c r="D3031" s="5">
        <v>0</v>
      </c>
      <c r="E3031" s="5">
        <v>0</v>
      </c>
    </row>
    <row r="3032" spans="1:5">
      <c r="A3032" s="4" t="str">
        <f>"20228026005"</f>
        <v>20228026005</v>
      </c>
      <c r="B3032" s="4" t="str">
        <f t="shared" si="58"/>
        <v>20220105</v>
      </c>
      <c r="C3032" s="5">
        <v>85.4</v>
      </c>
      <c r="D3032" s="5">
        <v>88.7</v>
      </c>
      <c r="E3032" s="5">
        <v>87.38</v>
      </c>
    </row>
    <row r="3033" spans="1:5">
      <c r="A3033" s="4" t="str">
        <f>"20228026006"</f>
        <v>20228026006</v>
      </c>
      <c r="B3033" s="4" t="str">
        <f t="shared" si="58"/>
        <v>20220105</v>
      </c>
      <c r="C3033" s="5">
        <v>92.89</v>
      </c>
      <c r="D3033" s="5">
        <v>85.5</v>
      </c>
      <c r="E3033" s="5">
        <v>88.46</v>
      </c>
    </row>
    <row r="3034" spans="1:5">
      <c r="A3034" s="4" t="str">
        <f>"20228026007"</f>
        <v>20228026007</v>
      </c>
      <c r="B3034" s="4" t="str">
        <f t="shared" si="58"/>
        <v>20220105</v>
      </c>
      <c r="C3034" s="5">
        <v>96.55</v>
      </c>
      <c r="D3034" s="5">
        <v>85</v>
      </c>
      <c r="E3034" s="5">
        <v>89.62</v>
      </c>
    </row>
    <row r="3035" spans="1:5">
      <c r="A3035" s="4" t="str">
        <f>"20228026008"</f>
        <v>20228026008</v>
      </c>
      <c r="B3035" s="4" t="str">
        <f t="shared" si="58"/>
        <v>20220105</v>
      </c>
      <c r="C3035" s="5">
        <v>90.71</v>
      </c>
      <c r="D3035" s="5">
        <v>85.7</v>
      </c>
      <c r="E3035" s="5">
        <v>87.7</v>
      </c>
    </row>
    <row r="3036" spans="1:5">
      <c r="A3036" s="4" t="str">
        <f>"20228026009"</f>
        <v>20228026009</v>
      </c>
      <c r="B3036" s="4" t="str">
        <f t="shared" si="58"/>
        <v>20220105</v>
      </c>
      <c r="C3036" s="5">
        <v>0</v>
      </c>
      <c r="D3036" s="5">
        <v>0</v>
      </c>
      <c r="E3036" s="5">
        <v>0</v>
      </c>
    </row>
    <row r="3037" spans="1:5">
      <c r="A3037" s="4" t="str">
        <f>"20228026010"</f>
        <v>20228026010</v>
      </c>
      <c r="B3037" s="4" t="str">
        <f t="shared" si="58"/>
        <v>20220105</v>
      </c>
      <c r="C3037" s="5">
        <v>0</v>
      </c>
      <c r="D3037" s="5">
        <v>0</v>
      </c>
      <c r="E3037" s="5">
        <v>0</v>
      </c>
    </row>
    <row r="3038" spans="1:5">
      <c r="A3038" s="4" t="str">
        <f>"20228026011"</f>
        <v>20228026011</v>
      </c>
      <c r="B3038" s="4" t="str">
        <f t="shared" si="58"/>
        <v>20220105</v>
      </c>
      <c r="C3038" s="5">
        <v>71.65</v>
      </c>
      <c r="D3038" s="5">
        <v>80.3</v>
      </c>
      <c r="E3038" s="5">
        <v>76.84</v>
      </c>
    </row>
    <row r="3039" spans="1:5">
      <c r="A3039" s="4" t="str">
        <f>"20228026012"</f>
        <v>20228026012</v>
      </c>
      <c r="B3039" s="4" t="str">
        <f t="shared" si="58"/>
        <v>20220105</v>
      </c>
      <c r="C3039" s="5">
        <v>81.18</v>
      </c>
      <c r="D3039" s="5">
        <v>74.4</v>
      </c>
      <c r="E3039" s="5">
        <v>77.11</v>
      </c>
    </row>
    <row r="3040" spans="1:5">
      <c r="A3040" s="4" t="str">
        <f>"20228026013"</f>
        <v>20228026013</v>
      </c>
      <c r="B3040" s="4" t="str">
        <f t="shared" si="58"/>
        <v>20220105</v>
      </c>
      <c r="C3040" s="5">
        <v>0</v>
      </c>
      <c r="D3040" s="5">
        <v>0</v>
      </c>
      <c r="E3040" s="5">
        <v>0</v>
      </c>
    </row>
    <row r="3041" spans="1:5">
      <c r="A3041" s="4" t="str">
        <f>"20228026014"</f>
        <v>20228026014</v>
      </c>
      <c r="B3041" s="4" t="str">
        <f t="shared" si="58"/>
        <v>20220105</v>
      </c>
      <c r="C3041" s="5">
        <v>0</v>
      </c>
      <c r="D3041" s="5">
        <v>0</v>
      </c>
      <c r="E3041" s="5">
        <v>0</v>
      </c>
    </row>
    <row r="3042" spans="1:5">
      <c r="A3042" s="4" t="str">
        <f>"20228026015"</f>
        <v>20228026015</v>
      </c>
      <c r="B3042" s="4" t="str">
        <f t="shared" si="58"/>
        <v>20220105</v>
      </c>
      <c r="C3042" s="5">
        <v>81.29</v>
      </c>
      <c r="D3042" s="5">
        <v>79.2</v>
      </c>
      <c r="E3042" s="5">
        <v>80.04</v>
      </c>
    </row>
    <row r="3043" spans="1:5">
      <c r="A3043" s="4" t="str">
        <f>"20228026016"</f>
        <v>20228026016</v>
      </c>
      <c r="B3043" s="4" t="str">
        <f t="shared" si="58"/>
        <v>20220105</v>
      </c>
      <c r="C3043" s="5">
        <v>86.82</v>
      </c>
      <c r="D3043" s="5">
        <v>89.6</v>
      </c>
      <c r="E3043" s="5">
        <v>88.49</v>
      </c>
    </row>
    <row r="3044" spans="1:5">
      <c r="A3044" s="4" t="str">
        <f>"20228026017"</f>
        <v>20228026017</v>
      </c>
      <c r="B3044" s="4" t="str">
        <f t="shared" si="58"/>
        <v>20220105</v>
      </c>
      <c r="C3044" s="5">
        <v>0</v>
      </c>
      <c r="D3044" s="5">
        <v>0</v>
      </c>
      <c r="E3044" s="5">
        <v>0</v>
      </c>
    </row>
    <row r="3045" spans="1:5">
      <c r="A3045" s="4" t="str">
        <f>"20228026018"</f>
        <v>20228026018</v>
      </c>
      <c r="B3045" s="4" t="str">
        <f t="shared" si="58"/>
        <v>20220105</v>
      </c>
      <c r="C3045" s="5">
        <v>83.49</v>
      </c>
      <c r="D3045" s="5">
        <v>92.3</v>
      </c>
      <c r="E3045" s="5">
        <v>88.78</v>
      </c>
    </row>
    <row r="3046" spans="1:5">
      <c r="A3046" s="4" t="str">
        <f>"20228026019"</f>
        <v>20228026019</v>
      </c>
      <c r="B3046" s="4" t="str">
        <f t="shared" si="58"/>
        <v>20220105</v>
      </c>
      <c r="C3046" s="5">
        <v>78.32</v>
      </c>
      <c r="D3046" s="5">
        <v>81.4</v>
      </c>
      <c r="E3046" s="5">
        <v>80.17</v>
      </c>
    </row>
    <row r="3047" spans="1:5">
      <c r="A3047" s="4" t="str">
        <f>"20228026020"</f>
        <v>20228026020</v>
      </c>
      <c r="B3047" s="4" t="str">
        <f t="shared" si="58"/>
        <v>20220105</v>
      </c>
      <c r="C3047" s="5">
        <v>0</v>
      </c>
      <c r="D3047" s="5">
        <v>0</v>
      </c>
      <c r="E3047" s="5">
        <v>0</v>
      </c>
    </row>
    <row r="3048" spans="1:5">
      <c r="A3048" s="4" t="str">
        <f>"20228026021"</f>
        <v>20228026021</v>
      </c>
      <c r="B3048" s="4" t="str">
        <f t="shared" si="58"/>
        <v>20220105</v>
      </c>
      <c r="C3048" s="5">
        <v>76.93</v>
      </c>
      <c r="D3048" s="5">
        <v>88.3</v>
      </c>
      <c r="E3048" s="5">
        <v>83.75</v>
      </c>
    </row>
    <row r="3049" spans="1:5">
      <c r="A3049" s="4" t="str">
        <f>"20228026022"</f>
        <v>20228026022</v>
      </c>
      <c r="B3049" s="4" t="str">
        <f t="shared" si="58"/>
        <v>20220105</v>
      </c>
      <c r="C3049" s="5">
        <v>90.24</v>
      </c>
      <c r="D3049" s="5">
        <v>68.7</v>
      </c>
      <c r="E3049" s="5">
        <v>77.32</v>
      </c>
    </row>
    <row r="3050" spans="1:5">
      <c r="A3050" s="4" t="str">
        <f>"20228026023"</f>
        <v>20228026023</v>
      </c>
      <c r="B3050" s="4" t="str">
        <f t="shared" si="58"/>
        <v>20220105</v>
      </c>
      <c r="C3050" s="5">
        <v>85.33</v>
      </c>
      <c r="D3050" s="5">
        <v>86.5</v>
      </c>
      <c r="E3050" s="5">
        <v>86.03</v>
      </c>
    </row>
    <row r="3051" spans="1:5">
      <c r="A3051" s="4" t="str">
        <f>"20228026024"</f>
        <v>20228026024</v>
      </c>
      <c r="B3051" s="4" t="str">
        <f t="shared" si="58"/>
        <v>20220105</v>
      </c>
      <c r="C3051" s="5">
        <v>81.94</v>
      </c>
      <c r="D3051" s="5">
        <v>79.2</v>
      </c>
      <c r="E3051" s="5">
        <v>80.3</v>
      </c>
    </row>
    <row r="3052" spans="1:5">
      <c r="A3052" s="4" t="str">
        <f>"20228026025"</f>
        <v>20228026025</v>
      </c>
      <c r="B3052" s="4" t="str">
        <f t="shared" si="58"/>
        <v>20220105</v>
      </c>
      <c r="C3052" s="5">
        <v>0</v>
      </c>
      <c r="D3052" s="5">
        <v>0</v>
      </c>
      <c r="E3052" s="5">
        <v>0</v>
      </c>
    </row>
    <row r="3053" spans="1:5">
      <c r="A3053" s="4" t="str">
        <f>"20228026026"</f>
        <v>20228026026</v>
      </c>
      <c r="B3053" s="4" t="str">
        <f t="shared" si="58"/>
        <v>20220105</v>
      </c>
      <c r="C3053" s="5">
        <v>76.97</v>
      </c>
      <c r="D3053" s="5">
        <v>78</v>
      </c>
      <c r="E3053" s="5">
        <v>77.59</v>
      </c>
    </row>
    <row r="3054" spans="1:5">
      <c r="A3054" s="4" t="str">
        <f>"20228026027"</f>
        <v>20228026027</v>
      </c>
      <c r="B3054" s="4" t="str">
        <f t="shared" si="58"/>
        <v>20220105</v>
      </c>
      <c r="C3054" s="5">
        <v>0</v>
      </c>
      <c r="D3054" s="5">
        <v>0</v>
      </c>
      <c r="E3054" s="5">
        <v>0</v>
      </c>
    </row>
    <row r="3055" spans="1:5">
      <c r="A3055" s="4" t="str">
        <f>"20228026028"</f>
        <v>20228026028</v>
      </c>
      <c r="B3055" s="4" t="str">
        <f t="shared" si="58"/>
        <v>20220105</v>
      </c>
      <c r="C3055" s="5">
        <v>0</v>
      </c>
      <c r="D3055" s="5">
        <v>0</v>
      </c>
      <c r="E3055" s="5">
        <v>0</v>
      </c>
    </row>
    <row r="3056" spans="1:5">
      <c r="A3056" s="4" t="str">
        <f>"20228026029"</f>
        <v>20228026029</v>
      </c>
      <c r="B3056" s="4" t="str">
        <f t="shared" si="58"/>
        <v>20220105</v>
      </c>
      <c r="C3056" s="5">
        <v>90.57</v>
      </c>
      <c r="D3056" s="5">
        <v>85.5</v>
      </c>
      <c r="E3056" s="5">
        <v>87.53</v>
      </c>
    </row>
    <row r="3057" spans="1:5">
      <c r="A3057" s="4" t="str">
        <f>"20228026030"</f>
        <v>20228026030</v>
      </c>
      <c r="B3057" s="4" t="str">
        <f t="shared" si="58"/>
        <v>20220105</v>
      </c>
      <c r="C3057" s="5">
        <v>93.28</v>
      </c>
      <c r="D3057" s="5">
        <v>95.5</v>
      </c>
      <c r="E3057" s="5">
        <v>94.61</v>
      </c>
    </row>
    <row r="3058" spans="1:5">
      <c r="A3058" s="4" t="str">
        <f>"20228026101"</f>
        <v>20228026101</v>
      </c>
      <c r="B3058" s="4" t="str">
        <f t="shared" si="58"/>
        <v>20220105</v>
      </c>
      <c r="C3058" s="5">
        <v>73.98</v>
      </c>
      <c r="D3058" s="5">
        <v>79.3</v>
      </c>
      <c r="E3058" s="5">
        <v>77.17</v>
      </c>
    </row>
    <row r="3059" spans="1:5">
      <c r="A3059" s="4" t="str">
        <f>"20228026102"</f>
        <v>20228026102</v>
      </c>
      <c r="B3059" s="4" t="str">
        <f t="shared" si="58"/>
        <v>20220105</v>
      </c>
      <c r="C3059" s="5">
        <v>88.59</v>
      </c>
      <c r="D3059" s="5">
        <v>73.1</v>
      </c>
      <c r="E3059" s="5">
        <v>79.3</v>
      </c>
    </row>
    <row r="3060" spans="1:5">
      <c r="A3060" s="4" t="str">
        <f>"20228026103"</f>
        <v>20228026103</v>
      </c>
      <c r="B3060" s="4" t="str">
        <f t="shared" ref="B3060:B3083" si="59">"20220205"</f>
        <v>20220205</v>
      </c>
      <c r="C3060" s="5">
        <v>63.84</v>
      </c>
      <c r="D3060" s="5">
        <v>81</v>
      </c>
      <c r="E3060" s="5">
        <v>74.14</v>
      </c>
    </row>
    <row r="3061" spans="1:5">
      <c r="A3061" s="4" t="str">
        <f>"20228026104"</f>
        <v>20228026104</v>
      </c>
      <c r="B3061" s="4" t="str">
        <f t="shared" si="59"/>
        <v>20220205</v>
      </c>
      <c r="C3061" s="5">
        <v>83.72</v>
      </c>
      <c r="D3061" s="5">
        <v>87.1</v>
      </c>
      <c r="E3061" s="5">
        <v>85.75</v>
      </c>
    </row>
    <row r="3062" spans="1:5">
      <c r="A3062" s="4" t="str">
        <f>"20228026105"</f>
        <v>20228026105</v>
      </c>
      <c r="B3062" s="4" t="str">
        <f t="shared" si="59"/>
        <v>20220205</v>
      </c>
      <c r="C3062" s="5">
        <v>0</v>
      </c>
      <c r="D3062" s="5">
        <v>0</v>
      </c>
      <c r="E3062" s="5">
        <v>0</v>
      </c>
    </row>
    <row r="3063" spans="1:5">
      <c r="A3063" s="4" t="str">
        <f>"20228026106"</f>
        <v>20228026106</v>
      </c>
      <c r="B3063" s="4" t="str">
        <f t="shared" si="59"/>
        <v>20220205</v>
      </c>
      <c r="C3063" s="5">
        <v>76.64</v>
      </c>
      <c r="D3063" s="5">
        <v>68.5</v>
      </c>
      <c r="E3063" s="5">
        <v>71.76</v>
      </c>
    </row>
    <row r="3064" spans="1:5">
      <c r="A3064" s="4" t="str">
        <f>"20228026107"</f>
        <v>20228026107</v>
      </c>
      <c r="B3064" s="4" t="str">
        <f t="shared" si="59"/>
        <v>20220205</v>
      </c>
      <c r="C3064" s="5">
        <v>90.28</v>
      </c>
      <c r="D3064" s="5">
        <v>78.8</v>
      </c>
      <c r="E3064" s="5">
        <v>83.39</v>
      </c>
    </row>
    <row r="3065" spans="1:5">
      <c r="A3065" s="4" t="str">
        <f>"20228026108"</f>
        <v>20228026108</v>
      </c>
      <c r="B3065" s="4" t="str">
        <f t="shared" si="59"/>
        <v>20220205</v>
      </c>
      <c r="C3065" s="5">
        <v>0</v>
      </c>
      <c r="D3065" s="5">
        <v>0</v>
      </c>
      <c r="E3065" s="5">
        <v>0</v>
      </c>
    </row>
    <row r="3066" spans="1:5">
      <c r="A3066" s="4" t="str">
        <f>"20228026109"</f>
        <v>20228026109</v>
      </c>
      <c r="B3066" s="4" t="str">
        <f t="shared" si="59"/>
        <v>20220205</v>
      </c>
      <c r="C3066" s="5">
        <v>0</v>
      </c>
      <c r="D3066" s="5">
        <v>0</v>
      </c>
      <c r="E3066" s="5">
        <v>0</v>
      </c>
    </row>
    <row r="3067" spans="1:5">
      <c r="A3067" s="4" t="str">
        <f>"20228026110"</f>
        <v>20228026110</v>
      </c>
      <c r="B3067" s="4" t="str">
        <f t="shared" si="59"/>
        <v>20220205</v>
      </c>
      <c r="C3067" s="5">
        <v>0</v>
      </c>
      <c r="D3067" s="5">
        <v>0</v>
      </c>
      <c r="E3067" s="5">
        <v>0</v>
      </c>
    </row>
    <row r="3068" spans="1:5">
      <c r="A3068" s="4" t="str">
        <f>"20228026111"</f>
        <v>20228026111</v>
      </c>
      <c r="B3068" s="4" t="str">
        <f t="shared" si="59"/>
        <v>20220205</v>
      </c>
      <c r="C3068" s="5">
        <v>0</v>
      </c>
      <c r="D3068" s="5">
        <v>0</v>
      </c>
      <c r="E3068" s="5">
        <v>0</v>
      </c>
    </row>
    <row r="3069" spans="1:5">
      <c r="A3069" s="4" t="str">
        <f>"20228026112"</f>
        <v>20228026112</v>
      </c>
      <c r="B3069" s="4" t="str">
        <f t="shared" si="59"/>
        <v>20220205</v>
      </c>
      <c r="C3069" s="5">
        <v>0</v>
      </c>
      <c r="D3069" s="5">
        <v>0</v>
      </c>
      <c r="E3069" s="5">
        <v>0</v>
      </c>
    </row>
    <row r="3070" spans="1:5">
      <c r="A3070" s="4" t="str">
        <f>"20228026113"</f>
        <v>20228026113</v>
      </c>
      <c r="B3070" s="4" t="str">
        <f t="shared" si="59"/>
        <v>20220205</v>
      </c>
      <c r="C3070" s="5">
        <v>0</v>
      </c>
      <c r="D3070" s="5">
        <v>0</v>
      </c>
      <c r="E3070" s="5">
        <v>0</v>
      </c>
    </row>
    <row r="3071" spans="1:5">
      <c r="A3071" s="4" t="str">
        <f>"20228026114"</f>
        <v>20228026114</v>
      </c>
      <c r="B3071" s="4" t="str">
        <f t="shared" si="59"/>
        <v>20220205</v>
      </c>
      <c r="C3071" s="5">
        <v>0</v>
      </c>
      <c r="D3071" s="5">
        <v>0</v>
      </c>
      <c r="E3071" s="5">
        <v>0</v>
      </c>
    </row>
    <row r="3072" spans="1:5">
      <c r="A3072" s="4" t="str">
        <f>"20228026115"</f>
        <v>20228026115</v>
      </c>
      <c r="B3072" s="4" t="str">
        <f t="shared" si="59"/>
        <v>20220205</v>
      </c>
      <c r="C3072" s="5">
        <v>96.48</v>
      </c>
      <c r="D3072" s="5">
        <v>86.2</v>
      </c>
      <c r="E3072" s="5">
        <v>90.31</v>
      </c>
    </row>
    <row r="3073" spans="1:5">
      <c r="A3073" s="4" t="str">
        <f>"20228026116"</f>
        <v>20228026116</v>
      </c>
      <c r="B3073" s="4" t="str">
        <f t="shared" si="59"/>
        <v>20220205</v>
      </c>
      <c r="C3073" s="5">
        <v>77.18</v>
      </c>
      <c r="D3073" s="5">
        <v>78</v>
      </c>
      <c r="E3073" s="5">
        <v>77.67</v>
      </c>
    </row>
    <row r="3074" spans="1:5">
      <c r="A3074" s="4" t="str">
        <f>"20228026117"</f>
        <v>20228026117</v>
      </c>
      <c r="B3074" s="4" t="str">
        <f t="shared" si="59"/>
        <v>20220205</v>
      </c>
      <c r="C3074" s="5">
        <v>77.03</v>
      </c>
      <c r="D3074" s="5">
        <v>83</v>
      </c>
      <c r="E3074" s="5">
        <v>80.61</v>
      </c>
    </row>
    <row r="3075" spans="1:5">
      <c r="A3075" s="4" t="str">
        <f>"20228026118"</f>
        <v>20228026118</v>
      </c>
      <c r="B3075" s="4" t="str">
        <f t="shared" si="59"/>
        <v>20220205</v>
      </c>
      <c r="C3075" s="5">
        <v>79.39</v>
      </c>
      <c r="D3075" s="5">
        <v>92.6</v>
      </c>
      <c r="E3075" s="5">
        <v>87.32</v>
      </c>
    </row>
    <row r="3076" spans="1:5">
      <c r="A3076" s="4" t="str">
        <f>"20228026119"</f>
        <v>20228026119</v>
      </c>
      <c r="B3076" s="4" t="str">
        <f t="shared" si="59"/>
        <v>20220205</v>
      </c>
      <c r="C3076" s="5">
        <v>75.24</v>
      </c>
      <c r="D3076" s="5">
        <v>78.3</v>
      </c>
      <c r="E3076" s="5">
        <v>77.08</v>
      </c>
    </row>
    <row r="3077" spans="1:5">
      <c r="A3077" s="4" t="str">
        <f>"20228026120"</f>
        <v>20228026120</v>
      </c>
      <c r="B3077" s="4" t="str">
        <f t="shared" si="59"/>
        <v>20220205</v>
      </c>
      <c r="C3077" s="5">
        <v>0</v>
      </c>
      <c r="D3077" s="5">
        <v>0</v>
      </c>
      <c r="E3077" s="5">
        <v>0</v>
      </c>
    </row>
    <row r="3078" spans="1:5">
      <c r="A3078" s="4" t="str">
        <f>"20228026121"</f>
        <v>20228026121</v>
      </c>
      <c r="B3078" s="4" t="str">
        <f t="shared" si="59"/>
        <v>20220205</v>
      </c>
      <c r="C3078" s="5">
        <v>79.56</v>
      </c>
      <c r="D3078" s="5">
        <v>66.1</v>
      </c>
      <c r="E3078" s="5">
        <v>71.48</v>
      </c>
    </row>
    <row r="3079" spans="1:5">
      <c r="A3079" s="4" t="str">
        <f>"20228026122"</f>
        <v>20228026122</v>
      </c>
      <c r="B3079" s="4" t="str">
        <f t="shared" si="59"/>
        <v>20220205</v>
      </c>
      <c r="C3079" s="5">
        <v>61.5</v>
      </c>
      <c r="D3079" s="5">
        <v>50.9</v>
      </c>
      <c r="E3079" s="5">
        <v>55.14</v>
      </c>
    </row>
    <row r="3080" spans="1:5">
      <c r="A3080" s="4" t="str">
        <f>"20228026123"</f>
        <v>20228026123</v>
      </c>
      <c r="B3080" s="4" t="str">
        <f t="shared" si="59"/>
        <v>20220205</v>
      </c>
      <c r="C3080" s="5">
        <v>0</v>
      </c>
      <c r="D3080" s="5">
        <v>0</v>
      </c>
      <c r="E3080" s="5">
        <v>0</v>
      </c>
    </row>
    <row r="3081" spans="1:5">
      <c r="A3081" s="4" t="str">
        <f>"20228026124"</f>
        <v>20228026124</v>
      </c>
      <c r="B3081" s="4" t="str">
        <f t="shared" si="59"/>
        <v>20220205</v>
      </c>
      <c r="C3081" s="5">
        <v>0</v>
      </c>
      <c r="D3081" s="5">
        <v>54.1</v>
      </c>
      <c r="E3081" s="5">
        <v>32.46</v>
      </c>
    </row>
    <row r="3082" spans="1:5">
      <c r="A3082" s="4" t="str">
        <f>"20228026125"</f>
        <v>20228026125</v>
      </c>
      <c r="B3082" s="4" t="str">
        <f t="shared" si="59"/>
        <v>20220205</v>
      </c>
      <c r="C3082" s="5">
        <v>0</v>
      </c>
      <c r="D3082" s="5">
        <v>0</v>
      </c>
      <c r="E3082" s="5">
        <v>0</v>
      </c>
    </row>
    <row r="3083" spans="1:5">
      <c r="A3083" s="4" t="str">
        <f>"20228026126"</f>
        <v>20228026126</v>
      </c>
      <c r="B3083" s="4" t="str">
        <f t="shared" si="59"/>
        <v>20220205</v>
      </c>
      <c r="C3083" s="5">
        <v>72.87</v>
      </c>
      <c r="D3083" s="5">
        <v>79.9</v>
      </c>
      <c r="E3083" s="5">
        <v>77.09</v>
      </c>
    </row>
    <row r="3084" spans="1:5">
      <c r="A3084" s="4" t="str">
        <f>"20228026127"</f>
        <v>20228026127</v>
      </c>
      <c r="B3084" s="4" t="str">
        <f t="shared" ref="B3084:B3099" si="60">"20220109"</f>
        <v>20220109</v>
      </c>
      <c r="C3084" s="5">
        <v>0</v>
      </c>
      <c r="D3084" s="5">
        <v>0</v>
      </c>
      <c r="E3084" s="5">
        <v>0</v>
      </c>
    </row>
    <row r="3085" spans="1:5">
      <c r="A3085" s="4" t="str">
        <f>"20228026128"</f>
        <v>20228026128</v>
      </c>
      <c r="B3085" s="4" t="str">
        <f t="shared" si="60"/>
        <v>20220109</v>
      </c>
      <c r="C3085" s="5">
        <v>94.99</v>
      </c>
      <c r="D3085" s="5">
        <v>91.9</v>
      </c>
      <c r="E3085" s="5">
        <v>93.14</v>
      </c>
    </row>
    <row r="3086" spans="1:5">
      <c r="A3086" s="4" t="str">
        <f>"20228026129"</f>
        <v>20228026129</v>
      </c>
      <c r="B3086" s="4" t="str">
        <f t="shared" si="60"/>
        <v>20220109</v>
      </c>
      <c r="C3086" s="5">
        <v>92.47</v>
      </c>
      <c r="D3086" s="5">
        <v>103.5</v>
      </c>
      <c r="E3086" s="5">
        <v>99.09</v>
      </c>
    </row>
    <row r="3087" spans="1:5">
      <c r="A3087" s="4" t="str">
        <f>"20228026130"</f>
        <v>20228026130</v>
      </c>
      <c r="B3087" s="4" t="str">
        <f t="shared" si="60"/>
        <v>20220109</v>
      </c>
      <c r="C3087" s="5">
        <v>0</v>
      </c>
      <c r="D3087" s="5">
        <v>0</v>
      </c>
      <c r="E3087" s="5">
        <v>0</v>
      </c>
    </row>
    <row r="3088" spans="1:5">
      <c r="A3088" s="4" t="str">
        <f>"20228026201"</f>
        <v>20228026201</v>
      </c>
      <c r="B3088" s="4" t="str">
        <f t="shared" si="60"/>
        <v>20220109</v>
      </c>
      <c r="C3088" s="5">
        <v>0</v>
      </c>
      <c r="D3088" s="5">
        <v>0</v>
      </c>
      <c r="E3088" s="5">
        <v>0</v>
      </c>
    </row>
    <row r="3089" spans="1:5">
      <c r="A3089" s="4" t="str">
        <f>"20228026202"</f>
        <v>20228026202</v>
      </c>
      <c r="B3089" s="4" t="str">
        <f t="shared" si="60"/>
        <v>20220109</v>
      </c>
      <c r="C3089" s="5">
        <v>0</v>
      </c>
      <c r="D3089" s="5">
        <v>0</v>
      </c>
      <c r="E3089" s="5">
        <v>0</v>
      </c>
    </row>
    <row r="3090" spans="1:5">
      <c r="A3090" s="4" t="str">
        <f>"20228026203"</f>
        <v>20228026203</v>
      </c>
      <c r="B3090" s="4" t="str">
        <f t="shared" si="60"/>
        <v>20220109</v>
      </c>
      <c r="C3090" s="5">
        <v>86.17</v>
      </c>
      <c r="D3090" s="5">
        <v>92.6</v>
      </c>
      <c r="E3090" s="5">
        <v>90.03</v>
      </c>
    </row>
    <row r="3091" spans="1:5">
      <c r="A3091" s="4" t="str">
        <f>"20228026204"</f>
        <v>20228026204</v>
      </c>
      <c r="B3091" s="4" t="str">
        <f t="shared" si="60"/>
        <v>20220109</v>
      </c>
      <c r="C3091" s="5">
        <v>0</v>
      </c>
      <c r="D3091" s="5">
        <v>0</v>
      </c>
      <c r="E3091" s="5">
        <v>0</v>
      </c>
    </row>
    <row r="3092" spans="1:5">
      <c r="A3092" s="4" t="str">
        <f>"20228026205"</f>
        <v>20228026205</v>
      </c>
      <c r="B3092" s="4" t="str">
        <f t="shared" si="60"/>
        <v>20220109</v>
      </c>
      <c r="C3092" s="5">
        <v>0</v>
      </c>
      <c r="D3092" s="5">
        <v>0</v>
      </c>
      <c r="E3092" s="5">
        <v>0</v>
      </c>
    </row>
    <row r="3093" spans="1:5">
      <c r="A3093" s="4" t="str">
        <f>"20228026206"</f>
        <v>20228026206</v>
      </c>
      <c r="B3093" s="4" t="str">
        <f t="shared" si="60"/>
        <v>20220109</v>
      </c>
      <c r="C3093" s="5">
        <v>0</v>
      </c>
      <c r="D3093" s="5">
        <v>0</v>
      </c>
      <c r="E3093" s="5">
        <v>0</v>
      </c>
    </row>
    <row r="3094" spans="1:5">
      <c r="A3094" s="4" t="str">
        <f>"20228026207"</f>
        <v>20228026207</v>
      </c>
      <c r="B3094" s="4" t="str">
        <f t="shared" si="60"/>
        <v>20220109</v>
      </c>
      <c r="C3094" s="5">
        <v>0</v>
      </c>
      <c r="D3094" s="5">
        <v>0</v>
      </c>
      <c r="E3094" s="5">
        <v>0</v>
      </c>
    </row>
    <row r="3095" spans="1:5">
      <c r="A3095" s="4" t="str">
        <f>"20228026208"</f>
        <v>20228026208</v>
      </c>
      <c r="B3095" s="4" t="str">
        <f t="shared" si="60"/>
        <v>20220109</v>
      </c>
      <c r="C3095" s="5">
        <v>0</v>
      </c>
      <c r="D3095" s="5">
        <v>0</v>
      </c>
      <c r="E3095" s="5">
        <v>0</v>
      </c>
    </row>
    <row r="3096" spans="1:5">
      <c r="A3096" s="4" t="str">
        <f>"20228026209"</f>
        <v>20228026209</v>
      </c>
      <c r="B3096" s="4" t="str">
        <f t="shared" si="60"/>
        <v>20220109</v>
      </c>
      <c r="C3096" s="5">
        <v>81.85</v>
      </c>
      <c r="D3096" s="5">
        <v>99.7</v>
      </c>
      <c r="E3096" s="5">
        <v>92.56</v>
      </c>
    </row>
    <row r="3097" spans="1:5">
      <c r="A3097" s="4" t="str">
        <f>"20228026210"</f>
        <v>20228026210</v>
      </c>
      <c r="B3097" s="4" t="str">
        <f t="shared" si="60"/>
        <v>20220109</v>
      </c>
      <c r="C3097" s="5">
        <v>82.75</v>
      </c>
      <c r="D3097" s="5">
        <v>73.2</v>
      </c>
      <c r="E3097" s="5">
        <v>77.02</v>
      </c>
    </row>
    <row r="3098" spans="1:5">
      <c r="A3098" s="4" t="str">
        <f>"20228026211"</f>
        <v>20228026211</v>
      </c>
      <c r="B3098" s="4" t="str">
        <f t="shared" si="60"/>
        <v>20220109</v>
      </c>
      <c r="C3098" s="5">
        <v>0</v>
      </c>
      <c r="D3098" s="5">
        <v>0</v>
      </c>
      <c r="E3098" s="5">
        <v>0</v>
      </c>
    </row>
    <row r="3099" spans="1:5">
      <c r="A3099" s="4" t="str">
        <f>"20228026212"</f>
        <v>20228026212</v>
      </c>
      <c r="B3099" s="4" t="str">
        <f t="shared" si="60"/>
        <v>20220109</v>
      </c>
      <c r="C3099" s="5">
        <v>87.03</v>
      </c>
      <c r="D3099" s="5">
        <v>91.8</v>
      </c>
      <c r="E3099" s="5">
        <v>89.89</v>
      </c>
    </row>
    <row r="3100" spans="1:5">
      <c r="A3100" s="4" t="str">
        <f>"20228026213"</f>
        <v>20228026213</v>
      </c>
      <c r="B3100" s="4" t="str">
        <f t="shared" ref="B3100:B3116" si="61">"20220209"</f>
        <v>20220209</v>
      </c>
      <c r="C3100" s="5">
        <v>0</v>
      </c>
      <c r="D3100" s="5">
        <v>0</v>
      </c>
      <c r="E3100" s="5">
        <v>0</v>
      </c>
    </row>
    <row r="3101" spans="1:5">
      <c r="A3101" s="4" t="str">
        <f>"20228026214"</f>
        <v>20228026214</v>
      </c>
      <c r="B3101" s="4" t="str">
        <f t="shared" si="61"/>
        <v>20220209</v>
      </c>
      <c r="C3101" s="5">
        <v>0</v>
      </c>
      <c r="D3101" s="5">
        <v>0</v>
      </c>
      <c r="E3101" s="5">
        <v>0</v>
      </c>
    </row>
    <row r="3102" spans="1:5">
      <c r="A3102" s="4" t="str">
        <f>"20228026215"</f>
        <v>20228026215</v>
      </c>
      <c r="B3102" s="4" t="str">
        <f t="shared" si="61"/>
        <v>20220209</v>
      </c>
      <c r="C3102" s="5">
        <v>0</v>
      </c>
      <c r="D3102" s="5">
        <v>0</v>
      </c>
      <c r="E3102" s="5">
        <v>0</v>
      </c>
    </row>
    <row r="3103" spans="1:5">
      <c r="A3103" s="4" t="str">
        <f>"20228026216"</f>
        <v>20228026216</v>
      </c>
      <c r="B3103" s="4" t="str">
        <f t="shared" si="61"/>
        <v>20220209</v>
      </c>
      <c r="C3103" s="5">
        <v>74.6</v>
      </c>
      <c r="D3103" s="5">
        <v>97.6</v>
      </c>
      <c r="E3103" s="5">
        <v>88.4</v>
      </c>
    </row>
    <row r="3104" spans="1:5">
      <c r="A3104" s="4" t="str">
        <f>"20228026217"</f>
        <v>20228026217</v>
      </c>
      <c r="B3104" s="4" t="str">
        <f t="shared" si="61"/>
        <v>20220209</v>
      </c>
      <c r="C3104" s="5">
        <v>0</v>
      </c>
      <c r="D3104" s="5">
        <v>0</v>
      </c>
      <c r="E3104" s="5">
        <v>0</v>
      </c>
    </row>
    <row r="3105" spans="1:5">
      <c r="A3105" s="4" t="str">
        <f>"20228026218"</f>
        <v>20228026218</v>
      </c>
      <c r="B3105" s="4" t="str">
        <f t="shared" si="61"/>
        <v>20220209</v>
      </c>
      <c r="C3105" s="5">
        <v>0</v>
      </c>
      <c r="D3105" s="5">
        <v>0</v>
      </c>
      <c r="E3105" s="5">
        <v>0</v>
      </c>
    </row>
    <row r="3106" spans="1:5">
      <c r="A3106" s="4" t="str">
        <f>"20228026219"</f>
        <v>20228026219</v>
      </c>
      <c r="B3106" s="4" t="str">
        <f t="shared" si="61"/>
        <v>20220209</v>
      </c>
      <c r="C3106" s="5">
        <v>0</v>
      </c>
      <c r="D3106" s="5">
        <v>0</v>
      </c>
      <c r="E3106" s="5">
        <v>0</v>
      </c>
    </row>
    <row r="3107" spans="1:5">
      <c r="A3107" s="4" t="str">
        <f>"20228026220"</f>
        <v>20228026220</v>
      </c>
      <c r="B3107" s="4" t="str">
        <f t="shared" si="61"/>
        <v>20220209</v>
      </c>
      <c r="C3107" s="5">
        <v>0</v>
      </c>
      <c r="D3107" s="5">
        <v>0</v>
      </c>
      <c r="E3107" s="5">
        <v>0</v>
      </c>
    </row>
    <row r="3108" spans="1:5">
      <c r="A3108" s="4" t="str">
        <f>"20228026221"</f>
        <v>20228026221</v>
      </c>
      <c r="B3108" s="4" t="str">
        <f t="shared" si="61"/>
        <v>20220209</v>
      </c>
      <c r="C3108" s="5">
        <v>0</v>
      </c>
      <c r="D3108" s="5">
        <v>0</v>
      </c>
      <c r="E3108" s="5">
        <v>0</v>
      </c>
    </row>
    <row r="3109" spans="1:5">
      <c r="A3109" s="4" t="str">
        <f>"20228026222"</f>
        <v>20228026222</v>
      </c>
      <c r="B3109" s="4" t="str">
        <f t="shared" si="61"/>
        <v>20220209</v>
      </c>
      <c r="C3109" s="5">
        <v>0</v>
      </c>
      <c r="D3109" s="5">
        <v>0</v>
      </c>
      <c r="E3109" s="5">
        <v>0</v>
      </c>
    </row>
    <row r="3110" spans="1:5">
      <c r="A3110" s="4" t="str">
        <f>"20228026223"</f>
        <v>20228026223</v>
      </c>
      <c r="B3110" s="4" t="str">
        <f t="shared" si="61"/>
        <v>20220209</v>
      </c>
      <c r="C3110" s="5">
        <v>96.67</v>
      </c>
      <c r="D3110" s="5">
        <v>101.6</v>
      </c>
      <c r="E3110" s="5">
        <v>99.63</v>
      </c>
    </row>
    <row r="3111" spans="1:5">
      <c r="A3111" s="4" t="str">
        <f>"20228026224"</f>
        <v>20228026224</v>
      </c>
      <c r="B3111" s="4" t="str">
        <f t="shared" si="61"/>
        <v>20220209</v>
      </c>
      <c r="C3111" s="5">
        <v>86.22</v>
      </c>
      <c r="D3111" s="5">
        <v>98.3</v>
      </c>
      <c r="E3111" s="5">
        <v>93.47</v>
      </c>
    </row>
    <row r="3112" spans="1:5">
      <c r="A3112" s="4" t="str">
        <f>"20228026225"</f>
        <v>20228026225</v>
      </c>
      <c r="B3112" s="4" t="str">
        <f t="shared" si="61"/>
        <v>20220209</v>
      </c>
      <c r="C3112" s="5">
        <v>0</v>
      </c>
      <c r="D3112" s="5">
        <v>0</v>
      </c>
      <c r="E3112" s="5">
        <v>0</v>
      </c>
    </row>
    <row r="3113" spans="1:5">
      <c r="A3113" s="4" t="str">
        <f>"20228026226"</f>
        <v>20228026226</v>
      </c>
      <c r="B3113" s="4" t="str">
        <f t="shared" si="61"/>
        <v>20220209</v>
      </c>
      <c r="C3113" s="5">
        <v>0</v>
      </c>
      <c r="D3113" s="5">
        <v>0</v>
      </c>
      <c r="E3113" s="5">
        <v>0</v>
      </c>
    </row>
    <row r="3114" spans="1:5">
      <c r="A3114" s="4" t="str">
        <f>"20228026227"</f>
        <v>20228026227</v>
      </c>
      <c r="B3114" s="4" t="str">
        <f t="shared" si="61"/>
        <v>20220209</v>
      </c>
      <c r="C3114" s="5">
        <v>0</v>
      </c>
      <c r="D3114" s="5">
        <v>0</v>
      </c>
      <c r="E3114" s="5">
        <v>0</v>
      </c>
    </row>
    <row r="3115" spans="1:5">
      <c r="A3115" s="4" t="str">
        <f>"20228026228"</f>
        <v>20228026228</v>
      </c>
      <c r="B3115" s="4" t="str">
        <f t="shared" si="61"/>
        <v>20220209</v>
      </c>
      <c r="C3115" s="5">
        <v>83.11</v>
      </c>
      <c r="D3115" s="5">
        <v>90.7</v>
      </c>
      <c r="E3115" s="5">
        <v>87.66</v>
      </c>
    </row>
    <row r="3116" spans="1:5">
      <c r="A3116" s="4" t="str">
        <f>"20228026229"</f>
        <v>20228026229</v>
      </c>
      <c r="B3116" s="4" t="str">
        <f t="shared" si="61"/>
        <v>20220209</v>
      </c>
      <c r="C3116" s="5">
        <v>73.85</v>
      </c>
      <c r="D3116" s="5">
        <v>85.7</v>
      </c>
      <c r="E3116" s="5">
        <v>80.96</v>
      </c>
    </row>
    <row r="3117" spans="1:5">
      <c r="A3117" s="4" t="str">
        <f>"20228026301"</f>
        <v>20228026301</v>
      </c>
      <c r="B3117" s="4" t="str">
        <f t="shared" ref="B3117:B3162" si="62">"20220106"</f>
        <v>20220106</v>
      </c>
      <c r="C3117" s="5">
        <v>88.18</v>
      </c>
      <c r="D3117" s="5">
        <v>90.7</v>
      </c>
      <c r="E3117" s="5">
        <v>89.69</v>
      </c>
    </row>
    <row r="3118" spans="1:5">
      <c r="A3118" s="4" t="str">
        <f>"20228026302"</f>
        <v>20228026302</v>
      </c>
      <c r="B3118" s="4" t="str">
        <f t="shared" si="62"/>
        <v>20220106</v>
      </c>
      <c r="C3118" s="5">
        <v>0</v>
      </c>
      <c r="D3118" s="5">
        <v>0</v>
      </c>
      <c r="E3118" s="5">
        <v>0</v>
      </c>
    </row>
    <row r="3119" spans="1:5">
      <c r="A3119" s="4" t="str">
        <f>"20228026303"</f>
        <v>20228026303</v>
      </c>
      <c r="B3119" s="4" t="str">
        <f t="shared" si="62"/>
        <v>20220106</v>
      </c>
      <c r="C3119" s="5">
        <v>0</v>
      </c>
      <c r="D3119" s="5">
        <v>0</v>
      </c>
      <c r="E3119" s="5">
        <v>0</v>
      </c>
    </row>
    <row r="3120" spans="1:5">
      <c r="A3120" s="4" t="str">
        <f>"20228026304"</f>
        <v>20228026304</v>
      </c>
      <c r="B3120" s="4" t="str">
        <f t="shared" si="62"/>
        <v>20220106</v>
      </c>
      <c r="C3120" s="5">
        <v>94</v>
      </c>
      <c r="D3120" s="5">
        <v>96.3</v>
      </c>
      <c r="E3120" s="5">
        <v>95.38</v>
      </c>
    </row>
    <row r="3121" spans="1:5">
      <c r="A3121" s="4" t="str">
        <f>"20228026305"</f>
        <v>20228026305</v>
      </c>
      <c r="B3121" s="4" t="str">
        <f t="shared" si="62"/>
        <v>20220106</v>
      </c>
      <c r="C3121" s="5">
        <v>0</v>
      </c>
      <c r="D3121" s="5">
        <v>0</v>
      </c>
      <c r="E3121" s="5">
        <v>0</v>
      </c>
    </row>
    <row r="3122" spans="1:5">
      <c r="A3122" s="4" t="str">
        <f>"20228026306"</f>
        <v>20228026306</v>
      </c>
      <c r="B3122" s="4" t="str">
        <f t="shared" si="62"/>
        <v>20220106</v>
      </c>
      <c r="C3122" s="5">
        <v>0</v>
      </c>
      <c r="D3122" s="5">
        <v>0</v>
      </c>
      <c r="E3122" s="5">
        <v>0</v>
      </c>
    </row>
    <row r="3123" spans="1:5">
      <c r="A3123" s="4" t="str">
        <f>"20228026307"</f>
        <v>20228026307</v>
      </c>
      <c r="B3123" s="4" t="str">
        <f t="shared" si="62"/>
        <v>20220106</v>
      </c>
      <c r="C3123" s="5">
        <v>0</v>
      </c>
      <c r="D3123" s="5">
        <v>0</v>
      </c>
      <c r="E3123" s="5">
        <v>0</v>
      </c>
    </row>
    <row r="3124" spans="1:5">
      <c r="A3124" s="4" t="str">
        <f>"20228026308"</f>
        <v>20228026308</v>
      </c>
      <c r="B3124" s="4" t="str">
        <f t="shared" si="62"/>
        <v>20220106</v>
      </c>
      <c r="C3124" s="5">
        <v>81.92</v>
      </c>
      <c r="D3124" s="5">
        <v>83.9</v>
      </c>
      <c r="E3124" s="5">
        <v>83.11</v>
      </c>
    </row>
    <row r="3125" spans="1:5">
      <c r="A3125" s="4" t="str">
        <f>"20228026309"</f>
        <v>20228026309</v>
      </c>
      <c r="B3125" s="4" t="str">
        <f t="shared" si="62"/>
        <v>20220106</v>
      </c>
      <c r="C3125" s="5">
        <v>0</v>
      </c>
      <c r="D3125" s="5">
        <v>0</v>
      </c>
      <c r="E3125" s="5">
        <v>0</v>
      </c>
    </row>
    <row r="3126" spans="1:5">
      <c r="A3126" s="4" t="str">
        <f>"20228026310"</f>
        <v>20228026310</v>
      </c>
      <c r="B3126" s="4" t="str">
        <f t="shared" si="62"/>
        <v>20220106</v>
      </c>
      <c r="C3126" s="5">
        <v>0</v>
      </c>
      <c r="D3126" s="5">
        <v>0</v>
      </c>
      <c r="E3126" s="5">
        <v>0</v>
      </c>
    </row>
    <row r="3127" spans="1:5">
      <c r="A3127" s="4" t="str">
        <f>"20228026311"</f>
        <v>20228026311</v>
      </c>
      <c r="B3127" s="4" t="str">
        <f t="shared" si="62"/>
        <v>20220106</v>
      </c>
      <c r="C3127" s="5">
        <v>0</v>
      </c>
      <c r="D3127" s="5">
        <v>0</v>
      </c>
      <c r="E3127" s="5">
        <v>0</v>
      </c>
    </row>
    <row r="3128" spans="1:5">
      <c r="A3128" s="4" t="str">
        <f>"20228026312"</f>
        <v>20228026312</v>
      </c>
      <c r="B3128" s="4" t="str">
        <f t="shared" si="62"/>
        <v>20220106</v>
      </c>
      <c r="C3128" s="5">
        <v>75.5</v>
      </c>
      <c r="D3128" s="5">
        <v>87.3</v>
      </c>
      <c r="E3128" s="5">
        <v>82.58</v>
      </c>
    </row>
    <row r="3129" spans="1:5">
      <c r="A3129" s="4" t="str">
        <f>"20228026313"</f>
        <v>20228026313</v>
      </c>
      <c r="B3129" s="4" t="str">
        <f t="shared" si="62"/>
        <v>20220106</v>
      </c>
      <c r="C3129" s="5">
        <v>0</v>
      </c>
      <c r="D3129" s="5">
        <v>0</v>
      </c>
      <c r="E3129" s="5">
        <v>0</v>
      </c>
    </row>
    <row r="3130" spans="1:5">
      <c r="A3130" s="4" t="str">
        <f>"20228026314"</f>
        <v>20228026314</v>
      </c>
      <c r="B3130" s="4" t="str">
        <f t="shared" si="62"/>
        <v>20220106</v>
      </c>
      <c r="C3130" s="5">
        <v>85.65</v>
      </c>
      <c r="D3130" s="5">
        <v>83.3</v>
      </c>
      <c r="E3130" s="5">
        <v>84.24</v>
      </c>
    </row>
    <row r="3131" spans="1:5">
      <c r="A3131" s="4" t="str">
        <f>"20228026315"</f>
        <v>20228026315</v>
      </c>
      <c r="B3131" s="4" t="str">
        <f t="shared" si="62"/>
        <v>20220106</v>
      </c>
      <c r="C3131" s="5">
        <v>82.2</v>
      </c>
      <c r="D3131" s="5">
        <v>80.9</v>
      </c>
      <c r="E3131" s="5">
        <v>81.42</v>
      </c>
    </row>
    <row r="3132" spans="1:5">
      <c r="A3132" s="4" t="str">
        <f>"20228026316"</f>
        <v>20228026316</v>
      </c>
      <c r="B3132" s="4" t="str">
        <f t="shared" si="62"/>
        <v>20220106</v>
      </c>
      <c r="C3132" s="5">
        <v>0</v>
      </c>
      <c r="D3132" s="5">
        <v>0</v>
      </c>
      <c r="E3132" s="5">
        <v>0</v>
      </c>
    </row>
    <row r="3133" spans="1:5">
      <c r="A3133" s="4" t="str">
        <f>"20228026317"</f>
        <v>20228026317</v>
      </c>
      <c r="B3133" s="4" t="str">
        <f t="shared" si="62"/>
        <v>20220106</v>
      </c>
      <c r="C3133" s="5">
        <v>0</v>
      </c>
      <c r="D3133" s="5">
        <v>0</v>
      </c>
      <c r="E3133" s="5">
        <v>0</v>
      </c>
    </row>
    <row r="3134" spans="1:5">
      <c r="A3134" s="4" t="str">
        <f>"20228026318"</f>
        <v>20228026318</v>
      </c>
      <c r="B3134" s="4" t="str">
        <f t="shared" si="62"/>
        <v>20220106</v>
      </c>
      <c r="C3134" s="5">
        <v>82.21</v>
      </c>
      <c r="D3134" s="5">
        <v>87.9</v>
      </c>
      <c r="E3134" s="5">
        <v>85.62</v>
      </c>
    </row>
    <row r="3135" spans="1:5">
      <c r="A3135" s="4" t="str">
        <f>"20228026319"</f>
        <v>20228026319</v>
      </c>
      <c r="B3135" s="4" t="str">
        <f t="shared" si="62"/>
        <v>20220106</v>
      </c>
      <c r="C3135" s="5">
        <v>94.09</v>
      </c>
      <c r="D3135" s="5">
        <v>87.5</v>
      </c>
      <c r="E3135" s="5">
        <v>90.14</v>
      </c>
    </row>
    <row r="3136" spans="1:5">
      <c r="A3136" s="4" t="str">
        <f>"20228026320"</f>
        <v>20228026320</v>
      </c>
      <c r="B3136" s="4" t="str">
        <f t="shared" si="62"/>
        <v>20220106</v>
      </c>
      <c r="C3136" s="5">
        <v>86.37</v>
      </c>
      <c r="D3136" s="5">
        <v>93.4</v>
      </c>
      <c r="E3136" s="5">
        <v>90.59</v>
      </c>
    </row>
    <row r="3137" spans="1:5">
      <c r="A3137" s="4" t="str">
        <f>"20228026321"</f>
        <v>20228026321</v>
      </c>
      <c r="B3137" s="4" t="str">
        <f t="shared" si="62"/>
        <v>20220106</v>
      </c>
      <c r="C3137" s="5">
        <v>0</v>
      </c>
      <c r="D3137" s="5">
        <v>0</v>
      </c>
      <c r="E3137" s="5">
        <v>0</v>
      </c>
    </row>
    <row r="3138" spans="1:5">
      <c r="A3138" s="4" t="str">
        <f>"20228026322"</f>
        <v>20228026322</v>
      </c>
      <c r="B3138" s="4" t="str">
        <f t="shared" si="62"/>
        <v>20220106</v>
      </c>
      <c r="C3138" s="5">
        <v>0</v>
      </c>
      <c r="D3138" s="5">
        <v>0</v>
      </c>
      <c r="E3138" s="5">
        <v>0</v>
      </c>
    </row>
    <row r="3139" spans="1:5">
      <c r="A3139" s="4" t="str">
        <f>"20228026323"</f>
        <v>20228026323</v>
      </c>
      <c r="B3139" s="4" t="str">
        <f t="shared" si="62"/>
        <v>20220106</v>
      </c>
      <c r="C3139" s="5">
        <v>73.09</v>
      </c>
      <c r="D3139" s="5">
        <v>94.6</v>
      </c>
      <c r="E3139" s="5">
        <v>86</v>
      </c>
    </row>
    <row r="3140" spans="1:5">
      <c r="A3140" s="4" t="str">
        <f>"20228026324"</f>
        <v>20228026324</v>
      </c>
      <c r="B3140" s="4" t="str">
        <f t="shared" si="62"/>
        <v>20220106</v>
      </c>
      <c r="C3140" s="5">
        <v>0</v>
      </c>
      <c r="D3140" s="5">
        <v>0</v>
      </c>
      <c r="E3140" s="5">
        <v>0</v>
      </c>
    </row>
    <row r="3141" spans="1:5">
      <c r="A3141" s="4" t="str">
        <f>"20228026325"</f>
        <v>20228026325</v>
      </c>
      <c r="B3141" s="4" t="str">
        <f t="shared" si="62"/>
        <v>20220106</v>
      </c>
      <c r="C3141" s="5">
        <v>0</v>
      </c>
      <c r="D3141" s="5">
        <v>0</v>
      </c>
      <c r="E3141" s="5">
        <v>0</v>
      </c>
    </row>
    <row r="3142" spans="1:5">
      <c r="A3142" s="4" t="str">
        <f>"20228026326"</f>
        <v>20228026326</v>
      </c>
      <c r="B3142" s="4" t="str">
        <f t="shared" si="62"/>
        <v>20220106</v>
      </c>
      <c r="C3142" s="5">
        <v>94.06</v>
      </c>
      <c r="D3142" s="5">
        <v>91.4</v>
      </c>
      <c r="E3142" s="5">
        <v>92.46</v>
      </c>
    </row>
    <row r="3143" spans="1:5">
      <c r="A3143" s="4" t="str">
        <f>"20228026327"</f>
        <v>20228026327</v>
      </c>
      <c r="B3143" s="4" t="str">
        <f t="shared" si="62"/>
        <v>20220106</v>
      </c>
      <c r="C3143" s="5">
        <v>0</v>
      </c>
      <c r="D3143" s="5">
        <v>0</v>
      </c>
      <c r="E3143" s="5">
        <v>0</v>
      </c>
    </row>
    <row r="3144" spans="1:5">
      <c r="A3144" s="4" t="str">
        <f>"20228026328"</f>
        <v>20228026328</v>
      </c>
      <c r="B3144" s="4" t="str">
        <f t="shared" si="62"/>
        <v>20220106</v>
      </c>
      <c r="C3144" s="5">
        <v>73.41</v>
      </c>
      <c r="D3144" s="5">
        <v>98.6</v>
      </c>
      <c r="E3144" s="5">
        <v>88.52</v>
      </c>
    </row>
    <row r="3145" spans="1:5">
      <c r="A3145" s="4" t="str">
        <f>"20228026329"</f>
        <v>20228026329</v>
      </c>
      <c r="B3145" s="4" t="str">
        <f t="shared" si="62"/>
        <v>20220106</v>
      </c>
      <c r="C3145" s="5">
        <v>91.2</v>
      </c>
      <c r="D3145" s="5">
        <v>90.2</v>
      </c>
      <c r="E3145" s="5">
        <v>90.6</v>
      </c>
    </row>
    <row r="3146" spans="1:5">
      <c r="A3146" s="4" t="str">
        <f>"20228026330"</f>
        <v>20228026330</v>
      </c>
      <c r="B3146" s="4" t="str">
        <f t="shared" si="62"/>
        <v>20220106</v>
      </c>
      <c r="C3146" s="5">
        <v>83.15</v>
      </c>
      <c r="D3146" s="5">
        <v>92.8</v>
      </c>
      <c r="E3146" s="5">
        <v>88.94</v>
      </c>
    </row>
    <row r="3147" spans="1:5">
      <c r="A3147" s="4" t="str">
        <f>"20228026401"</f>
        <v>20228026401</v>
      </c>
      <c r="B3147" s="4" t="str">
        <f t="shared" si="62"/>
        <v>20220106</v>
      </c>
      <c r="C3147" s="5">
        <v>85.9</v>
      </c>
      <c r="D3147" s="5">
        <v>88.7</v>
      </c>
      <c r="E3147" s="5">
        <v>87.58</v>
      </c>
    </row>
    <row r="3148" spans="1:5">
      <c r="A3148" s="4" t="str">
        <f>"20228026402"</f>
        <v>20228026402</v>
      </c>
      <c r="B3148" s="4" t="str">
        <f t="shared" si="62"/>
        <v>20220106</v>
      </c>
      <c r="C3148" s="5">
        <v>74.99</v>
      </c>
      <c r="D3148" s="5">
        <v>85.9</v>
      </c>
      <c r="E3148" s="5">
        <v>81.54</v>
      </c>
    </row>
    <row r="3149" spans="1:5">
      <c r="A3149" s="4" t="str">
        <f>"20228026403"</f>
        <v>20228026403</v>
      </c>
      <c r="B3149" s="4" t="str">
        <f t="shared" si="62"/>
        <v>20220106</v>
      </c>
      <c r="C3149" s="5">
        <v>92.55</v>
      </c>
      <c r="D3149" s="5">
        <v>93.1</v>
      </c>
      <c r="E3149" s="5">
        <v>92.88</v>
      </c>
    </row>
    <row r="3150" spans="1:5">
      <c r="A3150" s="4" t="str">
        <f>"20228026404"</f>
        <v>20228026404</v>
      </c>
      <c r="B3150" s="4" t="str">
        <f t="shared" si="62"/>
        <v>20220106</v>
      </c>
      <c r="C3150" s="5">
        <v>0</v>
      </c>
      <c r="D3150" s="5">
        <v>0</v>
      </c>
      <c r="E3150" s="5">
        <v>0</v>
      </c>
    </row>
    <row r="3151" spans="1:5">
      <c r="A3151" s="4" t="str">
        <f>"20228026405"</f>
        <v>20228026405</v>
      </c>
      <c r="B3151" s="4" t="str">
        <f t="shared" si="62"/>
        <v>20220106</v>
      </c>
      <c r="C3151" s="5">
        <v>0</v>
      </c>
      <c r="D3151" s="5">
        <v>0</v>
      </c>
      <c r="E3151" s="5">
        <v>0</v>
      </c>
    </row>
    <row r="3152" spans="1:5">
      <c r="A3152" s="4" t="str">
        <f>"20228026406"</f>
        <v>20228026406</v>
      </c>
      <c r="B3152" s="4" t="str">
        <f t="shared" si="62"/>
        <v>20220106</v>
      </c>
      <c r="C3152" s="5">
        <v>73.99</v>
      </c>
      <c r="D3152" s="5">
        <v>80.6</v>
      </c>
      <c r="E3152" s="5">
        <v>77.96</v>
      </c>
    </row>
    <row r="3153" spans="1:5">
      <c r="A3153" s="4" t="str">
        <f>"20228026407"</f>
        <v>20228026407</v>
      </c>
      <c r="B3153" s="4" t="str">
        <f t="shared" si="62"/>
        <v>20220106</v>
      </c>
      <c r="C3153" s="5">
        <v>0</v>
      </c>
      <c r="D3153" s="5">
        <v>0</v>
      </c>
      <c r="E3153" s="5">
        <v>0</v>
      </c>
    </row>
    <row r="3154" spans="1:5">
      <c r="A3154" s="4" t="str">
        <f>"20228026408"</f>
        <v>20228026408</v>
      </c>
      <c r="B3154" s="4" t="str">
        <f t="shared" si="62"/>
        <v>20220106</v>
      </c>
      <c r="C3154" s="5">
        <v>0</v>
      </c>
      <c r="D3154" s="5">
        <v>0</v>
      </c>
      <c r="E3154" s="5">
        <v>0</v>
      </c>
    </row>
    <row r="3155" spans="1:5">
      <c r="A3155" s="4" t="str">
        <f>"20228026409"</f>
        <v>20228026409</v>
      </c>
      <c r="B3155" s="4" t="str">
        <f t="shared" si="62"/>
        <v>20220106</v>
      </c>
      <c r="C3155" s="5">
        <v>0</v>
      </c>
      <c r="D3155" s="5">
        <v>0</v>
      </c>
      <c r="E3155" s="5">
        <v>0</v>
      </c>
    </row>
    <row r="3156" spans="1:5">
      <c r="A3156" s="4" t="str">
        <f>"20228026410"</f>
        <v>20228026410</v>
      </c>
      <c r="B3156" s="4" t="str">
        <f t="shared" si="62"/>
        <v>20220106</v>
      </c>
      <c r="C3156" s="5">
        <v>78.32</v>
      </c>
      <c r="D3156" s="5">
        <v>76.8</v>
      </c>
      <c r="E3156" s="5">
        <v>77.41</v>
      </c>
    </row>
    <row r="3157" spans="1:5">
      <c r="A3157" s="4" t="str">
        <f>"20228026411"</f>
        <v>20228026411</v>
      </c>
      <c r="B3157" s="4" t="str">
        <f t="shared" si="62"/>
        <v>20220106</v>
      </c>
      <c r="C3157" s="5">
        <v>0</v>
      </c>
      <c r="D3157" s="5">
        <v>0</v>
      </c>
      <c r="E3157" s="5">
        <v>0</v>
      </c>
    </row>
    <row r="3158" spans="1:5">
      <c r="A3158" s="4" t="str">
        <f>"20228026412"</f>
        <v>20228026412</v>
      </c>
      <c r="B3158" s="4" t="str">
        <f t="shared" si="62"/>
        <v>20220106</v>
      </c>
      <c r="C3158" s="5">
        <v>0</v>
      </c>
      <c r="D3158" s="5">
        <v>0</v>
      </c>
      <c r="E3158" s="5">
        <v>0</v>
      </c>
    </row>
    <row r="3159" spans="1:5">
      <c r="A3159" s="4" t="str">
        <f>"20228026413"</f>
        <v>20228026413</v>
      </c>
      <c r="B3159" s="4" t="str">
        <f t="shared" si="62"/>
        <v>20220106</v>
      </c>
      <c r="C3159" s="5">
        <v>0</v>
      </c>
      <c r="D3159" s="5">
        <v>0</v>
      </c>
      <c r="E3159" s="5">
        <v>0</v>
      </c>
    </row>
    <row r="3160" spans="1:5">
      <c r="A3160" s="4" t="str">
        <f>"20228026414"</f>
        <v>20228026414</v>
      </c>
      <c r="B3160" s="4" t="str">
        <f t="shared" si="62"/>
        <v>20220106</v>
      </c>
      <c r="C3160" s="5">
        <v>0</v>
      </c>
      <c r="D3160" s="5">
        <v>0</v>
      </c>
      <c r="E3160" s="5">
        <v>0</v>
      </c>
    </row>
    <row r="3161" spans="1:5">
      <c r="A3161" s="4" t="str">
        <f>"20228026415"</f>
        <v>20228026415</v>
      </c>
      <c r="B3161" s="4" t="str">
        <f t="shared" si="62"/>
        <v>20220106</v>
      </c>
      <c r="C3161" s="5">
        <v>0</v>
      </c>
      <c r="D3161" s="5">
        <v>0</v>
      </c>
      <c r="E3161" s="5">
        <v>0</v>
      </c>
    </row>
    <row r="3162" spans="1:5">
      <c r="A3162" s="4" t="str">
        <f>"20228026416"</f>
        <v>20228026416</v>
      </c>
      <c r="B3162" s="4" t="str">
        <f t="shared" si="62"/>
        <v>20220106</v>
      </c>
      <c r="C3162" s="5">
        <v>84.74</v>
      </c>
      <c r="D3162" s="5">
        <v>90.7</v>
      </c>
      <c r="E3162" s="5">
        <v>88.32</v>
      </c>
    </row>
    <row r="3163" spans="1:5">
      <c r="A3163" s="4" t="str">
        <f>"20228026417"</f>
        <v>20228026417</v>
      </c>
      <c r="B3163" s="4" t="str">
        <f t="shared" ref="B3163:B3182" si="63">"20220206"</f>
        <v>20220206</v>
      </c>
      <c r="C3163" s="5">
        <v>85.73</v>
      </c>
      <c r="D3163" s="5">
        <v>88</v>
      </c>
      <c r="E3163" s="5">
        <v>87.09</v>
      </c>
    </row>
    <row r="3164" spans="1:5">
      <c r="A3164" s="4" t="str">
        <f>"20228026418"</f>
        <v>20228026418</v>
      </c>
      <c r="B3164" s="4" t="str">
        <f t="shared" si="63"/>
        <v>20220206</v>
      </c>
      <c r="C3164" s="5">
        <v>70.2</v>
      </c>
      <c r="D3164" s="5">
        <v>80.4</v>
      </c>
      <c r="E3164" s="5">
        <v>76.32</v>
      </c>
    </row>
    <row r="3165" spans="1:5">
      <c r="A3165" s="4" t="str">
        <f>"20228026419"</f>
        <v>20228026419</v>
      </c>
      <c r="B3165" s="4" t="str">
        <f t="shared" si="63"/>
        <v>20220206</v>
      </c>
      <c r="C3165" s="5">
        <v>0</v>
      </c>
      <c r="D3165" s="5">
        <v>0</v>
      </c>
      <c r="E3165" s="5">
        <v>0</v>
      </c>
    </row>
    <row r="3166" spans="1:5">
      <c r="A3166" s="4" t="str">
        <f>"20228026420"</f>
        <v>20228026420</v>
      </c>
      <c r="B3166" s="4" t="str">
        <f t="shared" si="63"/>
        <v>20220206</v>
      </c>
      <c r="C3166" s="5">
        <v>0</v>
      </c>
      <c r="D3166" s="5">
        <v>0</v>
      </c>
      <c r="E3166" s="5">
        <v>0</v>
      </c>
    </row>
    <row r="3167" spans="1:5">
      <c r="A3167" s="4" t="str">
        <f>"20228026421"</f>
        <v>20228026421</v>
      </c>
      <c r="B3167" s="4" t="str">
        <f t="shared" si="63"/>
        <v>20220206</v>
      </c>
      <c r="C3167" s="5">
        <v>0</v>
      </c>
      <c r="D3167" s="5">
        <v>0</v>
      </c>
      <c r="E3167" s="5">
        <v>0</v>
      </c>
    </row>
    <row r="3168" spans="1:5">
      <c r="A3168" s="4" t="str">
        <f>"20228026422"</f>
        <v>20228026422</v>
      </c>
      <c r="B3168" s="4" t="str">
        <f t="shared" si="63"/>
        <v>20220206</v>
      </c>
      <c r="C3168" s="5">
        <v>0</v>
      </c>
      <c r="D3168" s="5">
        <v>0</v>
      </c>
      <c r="E3168" s="5">
        <v>0</v>
      </c>
    </row>
    <row r="3169" spans="1:5">
      <c r="A3169" s="4" t="str">
        <f>"20228026423"</f>
        <v>20228026423</v>
      </c>
      <c r="B3169" s="4" t="str">
        <f t="shared" si="63"/>
        <v>20220206</v>
      </c>
      <c r="C3169" s="5">
        <v>0</v>
      </c>
      <c r="D3169" s="5">
        <v>0</v>
      </c>
      <c r="E3169" s="5">
        <v>0</v>
      </c>
    </row>
    <row r="3170" spans="1:5">
      <c r="A3170" s="4" t="str">
        <f>"20228026424"</f>
        <v>20228026424</v>
      </c>
      <c r="B3170" s="4" t="str">
        <f t="shared" si="63"/>
        <v>20220206</v>
      </c>
      <c r="C3170" s="5">
        <v>0</v>
      </c>
      <c r="D3170" s="5">
        <v>0</v>
      </c>
      <c r="E3170" s="5">
        <v>0</v>
      </c>
    </row>
    <row r="3171" spans="1:5">
      <c r="A3171" s="4" t="str">
        <f>"20228026425"</f>
        <v>20228026425</v>
      </c>
      <c r="B3171" s="4" t="str">
        <f t="shared" si="63"/>
        <v>20220206</v>
      </c>
      <c r="C3171" s="5">
        <v>91.07</v>
      </c>
      <c r="D3171" s="5">
        <v>99.7</v>
      </c>
      <c r="E3171" s="5">
        <v>96.25</v>
      </c>
    </row>
    <row r="3172" spans="1:5">
      <c r="A3172" s="4" t="str">
        <f>"20228026426"</f>
        <v>20228026426</v>
      </c>
      <c r="B3172" s="4" t="str">
        <f t="shared" si="63"/>
        <v>20220206</v>
      </c>
      <c r="C3172" s="5">
        <v>72.08</v>
      </c>
      <c r="D3172" s="5">
        <v>81.4</v>
      </c>
      <c r="E3172" s="5">
        <v>77.67</v>
      </c>
    </row>
    <row r="3173" spans="1:5">
      <c r="A3173" s="4" t="str">
        <f>"20228026427"</f>
        <v>20228026427</v>
      </c>
      <c r="B3173" s="4" t="str">
        <f t="shared" si="63"/>
        <v>20220206</v>
      </c>
      <c r="C3173" s="5">
        <v>61.61</v>
      </c>
      <c r="D3173" s="5">
        <v>69.2</v>
      </c>
      <c r="E3173" s="5">
        <v>66.16</v>
      </c>
    </row>
    <row r="3174" spans="1:5">
      <c r="A3174" s="4" t="str">
        <f>"20228026428"</f>
        <v>20228026428</v>
      </c>
      <c r="B3174" s="4" t="str">
        <f t="shared" si="63"/>
        <v>20220206</v>
      </c>
      <c r="C3174" s="5">
        <v>0</v>
      </c>
      <c r="D3174" s="5">
        <v>0</v>
      </c>
      <c r="E3174" s="5">
        <v>0</v>
      </c>
    </row>
    <row r="3175" spans="1:5">
      <c r="A3175" s="4" t="str">
        <f>"20228026429"</f>
        <v>20228026429</v>
      </c>
      <c r="B3175" s="4" t="str">
        <f t="shared" si="63"/>
        <v>20220206</v>
      </c>
      <c r="C3175" s="5">
        <v>84.88</v>
      </c>
      <c r="D3175" s="5">
        <v>82.4</v>
      </c>
      <c r="E3175" s="5">
        <v>83.39</v>
      </c>
    </row>
    <row r="3176" spans="1:5">
      <c r="A3176" s="4" t="str">
        <f>"20228026430"</f>
        <v>20228026430</v>
      </c>
      <c r="B3176" s="4" t="str">
        <f t="shared" si="63"/>
        <v>20220206</v>
      </c>
      <c r="C3176" s="5">
        <v>87.34</v>
      </c>
      <c r="D3176" s="5">
        <v>83.2</v>
      </c>
      <c r="E3176" s="5">
        <v>84.86</v>
      </c>
    </row>
    <row r="3177" spans="1:5">
      <c r="A3177" s="4" t="str">
        <f>"20228026501"</f>
        <v>20228026501</v>
      </c>
      <c r="B3177" s="4" t="str">
        <f t="shared" si="63"/>
        <v>20220206</v>
      </c>
      <c r="C3177" s="5">
        <v>0</v>
      </c>
      <c r="D3177" s="5">
        <v>0</v>
      </c>
      <c r="E3177" s="5">
        <v>0</v>
      </c>
    </row>
    <row r="3178" spans="1:5">
      <c r="A3178" s="4" t="str">
        <f>"20228026502"</f>
        <v>20228026502</v>
      </c>
      <c r="B3178" s="4" t="str">
        <f t="shared" si="63"/>
        <v>20220206</v>
      </c>
      <c r="C3178" s="5">
        <v>0</v>
      </c>
      <c r="D3178" s="5">
        <v>0</v>
      </c>
      <c r="E3178" s="5">
        <v>0</v>
      </c>
    </row>
    <row r="3179" spans="1:5">
      <c r="A3179" s="4" t="str">
        <f>"20228026503"</f>
        <v>20228026503</v>
      </c>
      <c r="B3179" s="4" t="str">
        <f t="shared" si="63"/>
        <v>20220206</v>
      </c>
      <c r="C3179" s="5">
        <v>92.23</v>
      </c>
      <c r="D3179" s="5">
        <v>90.3</v>
      </c>
      <c r="E3179" s="5">
        <v>91.07</v>
      </c>
    </row>
    <row r="3180" spans="1:5">
      <c r="A3180" s="4" t="str">
        <f>"20228026504"</f>
        <v>20228026504</v>
      </c>
      <c r="B3180" s="4" t="str">
        <f t="shared" si="63"/>
        <v>20220206</v>
      </c>
      <c r="C3180" s="5">
        <v>95.9</v>
      </c>
      <c r="D3180" s="5">
        <v>96.6</v>
      </c>
      <c r="E3180" s="5">
        <v>96.32</v>
      </c>
    </row>
    <row r="3181" spans="1:5">
      <c r="A3181" s="4" t="str">
        <f>"20228026505"</f>
        <v>20228026505</v>
      </c>
      <c r="B3181" s="4" t="str">
        <f t="shared" si="63"/>
        <v>20220206</v>
      </c>
      <c r="C3181" s="5">
        <v>79.75</v>
      </c>
      <c r="D3181" s="5">
        <v>86.1</v>
      </c>
      <c r="E3181" s="5">
        <v>83.56</v>
      </c>
    </row>
    <row r="3182" spans="1:5">
      <c r="A3182" s="4" t="str">
        <f>"20228026506"</f>
        <v>20228026506</v>
      </c>
      <c r="B3182" s="4" t="str">
        <f t="shared" si="63"/>
        <v>20220206</v>
      </c>
      <c r="C3182" s="5">
        <v>77.57</v>
      </c>
      <c r="D3182" s="5">
        <v>95.6</v>
      </c>
      <c r="E3182" s="5">
        <v>88.39</v>
      </c>
    </row>
    <row r="3183" spans="1:5">
      <c r="A3183" s="4" t="str">
        <f>"20228026507"</f>
        <v>20228026507</v>
      </c>
      <c r="B3183" s="4" t="str">
        <f t="shared" ref="B3183:B3193" si="64">"20220107"</f>
        <v>20220107</v>
      </c>
      <c r="C3183" s="5">
        <v>79.47</v>
      </c>
      <c r="D3183" s="5">
        <v>100.9</v>
      </c>
      <c r="E3183" s="5">
        <v>92.33</v>
      </c>
    </row>
    <row r="3184" spans="1:5">
      <c r="A3184" s="4" t="str">
        <f>"20228026508"</f>
        <v>20228026508</v>
      </c>
      <c r="B3184" s="4" t="str">
        <f t="shared" si="64"/>
        <v>20220107</v>
      </c>
      <c r="C3184" s="5">
        <v>86.13</v>
      </c>
      <c r="D3184" s="5">
        <v>100.6</v>
      </c>
      <c r="E3184" s="5">
        <v>94.81</v>
      </c>
    </row>
    <row r="3185" spans="1:5">
      <c r="A3185" s="4" t="str">
        <f>"20228026509"</f>
        <v>20228026509</v>
      </c>
      <c r="B3185" s="4" t="str">
        <f t="shared" si="64"/>
        <v>20220107</v>
      </c>
      <c r="C3185" s="5">
        <v>91.33</v>
      </c>
      <c r="D3185" s="5">
        <v>104.1</v>
      </c>
      <c r="E3185" s="5">
        <v>98.99</v>
      </c>
    </row>
    <row r="3186" spans="1:5">
      <c r="A3186" s="4" t="str">
        <f>"20228026510"</f>
        <v>20228026510</v>
      </c>
      <c r="B3186" s="4" t="str">
        <f t="shared" si="64"/>
        <v>20220107</v>
      </c>
      <c r="C3186" s="5">
        <v>0</v>
      </c>
      <c r="D3186" s="5">
        <v>0</v>
      </c>
      <c r="E3186" s="5">
        <v>0</v>
      </c>
    </row>
    <row r="3187" spans="1:5">
      <c r="A3187" s="4" t="str">
        <f>"20228026511"</f>
        <v>20228026511</v>
      </c>
      <c r="B3187" s="4" t="str">
        <f t="shared" si="64"/>
        <v>20220107</v>
      </c>
      <c r="C3187" s="5">
        <v>0</v>
      </c>
      <c r="D3187" s="5">
        <v>0</v>
      </c>
      <c r="E3187" s="5">
        <v>0</v>
      </c>
    </row>
    <row r="3188" spans="1:5">
      <c r="A3188" s="4" t="str">
        <f>"20228026512"</f>
        <v>20228026512</v>
      </c>
      <c r="B3188" s="4" t="str">
        <f t="shared" si="64"/>
        <v>20220107</v>
      </c>
      <c r="C3188" s="5">
        <v>0</v>
      </c>
      <c r="D3188" s="5">
        <v>0</v>
      </c>
      <c r="E3188" s="5">
        <v>0</v>
      </c>
    </row>
    <row r="3189" spans="1:5">
      <c r="A3189" s="4" t="str">
        <f>"20228026513"</f>
        <v>20228026513</v>
      </c>
      <c r="B3189" s="4" t="str">
        <f t="shared" si="64"/>
        <v>20220107</v>
      </c>
      <c r="C3189" s="5">
        <v>0</v>
      </c>
      <c r="D3189" s="5">
        <v>0</v>
      </c>
      <c r="E3189" s="5">
        <v>0</v>
      </c>
    </row>
    <row r="3190" spans="1:5">
      <c r="A3190" s="4" t="str">
        <f>"20228026514"</f>
        <v>20228026514</v>
      </c>
      <c r="B3190" s="4" t="str">
        <f t="shared" si="64"/>
        <v>20220107</v>
      </c>
      <c r="C3190" s="5">
        <v>0</v>
      </c>
      <c r="D3190" s="5">
        <v>0</v>
      </c>
      <c r="E3190" s="5">
        <v>0</v>
      </c>
    </row>
    <row r="3191" spans="1:5">
      <c r="A3191" s="4" t="str">
        <f>"20228026515"</f>
        <v>20228026515</v>
      </c>
      <c r="B3191" s="4" t="str">
        <f t="shared" si="64"/>
        <v>20220107</v>
      </c>
      <c r="C3191" s="5">
        <v>79.16</v>
      </c>
      <c r="D3191" s="5">
        <v>102.1</v>
      </c>
      <c r="E3191" s="5">
        <v>92.92</v>
      </c>
    </row>
    <row r="3192" spans="1:5">
      <c r="A3192" s="4" t="str">
        <f>"20228026516"</f>
        <v>20228026516</v>
      </c>
      <c r="B3192" s="4" t="str">
        <f t="shared" si="64"/>
        <v>20220107</v>
      </c>
      <c r="C3192" s="5">
        <v>82.35</v>
      </c>
      <c r="D3192" s="5">
        <v>104.6</v>
      </c>
      <c r="E3192" s="5">
        <v>95.7</v>
      </c>
    </row>
    <row r="3193" spans="1:5">
      <c r="A3193" s="4" t="str">
        <f>"20228026517"</f>
        <v>20228026517</v>
      </c>
      <c r="B3193" s="4" t="str">
        <f t="shared" si="64"/>
        <v>20220107</v>
      </c>
      <c r="C3193" s="5">
        <v>89.34</v>
      </c>
      <c r="D3193" s="5">
        <v>111</v>
      </c>
      <c r="E3193" s="5">
        <v>102.34</v>
      </c>
    </row>
    <row r="3194" spans="1:5">
      <c r="A3194" s="4" t="str">
        <f>"20228026518"</f>
        <v>20228026518</v>
      </c>
      <c r="B3194" s="4" t="str">
        <f t="shared" ref="B3194:B3205" si="65">"20220207"</f>
        <v>20220207</v>
      </c>
      <c r="C3194" s="5">
        <v>0</v>
      </c>
      <c r="D3194" s="5">
        <v>0</v>
      </c>
      <c r="E3194" s="5">
        <v>0</v>
      </c>
    </row>
    <row r="3195" spans="1:5">
      <c r="A3195" s="4" t="str">
        <f>"20228026519"</f>
        <v>20228026519</v>
      </c>
      <c r="B3195" s="4" t="str">
        <f t="shared" si="65"/>
        <v>20220207</v>
      </c>
      <c r="C3195" s="5">
        <v>0</v>
      </c>
      <c r="D3195" s="5">
        <v>0</v>
      </c>
      <c r="E3195" s="5">
        <v>0</v>
      </c>
    </row>
    <row r="3196" spans="1:5">
      <c r="A3196" s="4" t="str">
        <f>"20228026520"</f>
        <v>20228026520</v>
      </c>
      <c r="B3196" s="4" t="str">
        <f t="shared" si="65"/>
        <v>20220207</v>
      </c>
      <c r="C3196" s="5">
        <v>82.79</v>
      </c>
      <c r="D3196" s="5">
        <v>96.6</v>
      </c>
      <c r="E3196" s="5">
        <v>91.08</v>
      </c>
    </row>
    <row r="3197" spans="1:5">
      <c r="A3197" s="4" t="str">
        <f>"20228026521"</f>
        <v>20228026521</v>
      </c>
      <c r="B3197" s="4" t="str">
        <f t="shared" si="65"/>
        <v>20220207</v>
      </c>
      <c r="C3197" s="5">
        <v>0</v>
      </c>
      <c r="D3197" s="5">
        <v>0</v>
      </c>
      <c r="E3197" s="5">
        <v>0</v>
      </c>
    </row>
    <row r="3198" spans="1:5">
      <c r="A3198" s="4" t="str">
        <f>"20228026522"</f>
        <v>20228026522</v>
      </c>
      <c r="B3198" s="4" t="str">
        <f t="shared" si="65"/>
        <v>20220207</v>
      </c>
      <c r="C3198" s="5">
        <v>75.57</v>
      </c>
      <c r="D3198" s="5">
        <v>97.5</v>
      </c>
      <c r="E3198" s="5">
        <v>88.73</v>
      </c>
    </row>
    <row r="3199" spans="1:5">
      <c r="A3199" s="4" t="str">
        <f>"20228026523"</f>
        <v>20228026523</v>
      </c>
      <c r="B3199" s="4" t="str">
        <f t="shared" si="65"/>
        <v>20220207</v>
      </c>
      <c r="C3199" s="5">
        <v>0</v>
      </c>
      <c r="D3199" s="5">
        <v>0</v>
      </c>
      <c r="E3199" s="5">
        <v>0</v>
      </c>
    </row>
    <row r="3200" spans="1:5">
      <c r="A3200" s="4" t="str">
        <f>"20228026524"</f>
        <v>20228026524</v>
      </c>
      <c r="B3200" s="4" t="str">
        <f t="shared" si="65"/>
        <v>20220207</v>
      </c>
      <c r="C3200" s="5">
        <v>0</v>
      </c>
      <c r="D3200" s="5">
        <v>0</v>
      </c>
      <c r="E3200" s="5">
        <v>0</v>
      </c>
    </row>
    <row r="3201" spans="1:5">
      <c r="A3201" s="4" t="str">
        <f>"20228026525"</f>
        <v>20228026525</v>
      </c>
      <c r="B3201" s="4" t="str">
        <f t="shared" si="65"/>
        <v>20220207</v>
      </c>
      <c r="C3201" s="5">
        <v>93.54</v>
      </c>
      <c r="D3201" s="5">
        <v>102.3</v>
      </c>
      <c r="E3201" s="5">
        <v>98.8</v>
      </c>
    </row>
    <row r="3202" spans="1:5">
      <c r="A3202" s="4" t="str">
        <f>"20228026526"</f>
        <v>20228026526</v>
      </c>
      <c r="B3202" s="4" t="str">
        <f t="shared" si="65"/>
        <v>20220207</v>
      </c>
      <c r="C3202" s="5">
        <v>0</v>
      </c>
      <c r="D3202" s="5">
        <v>0</v>
      </c>
      <c r="E3202" s="5">
        <v>0</v>
      </c>
    </row>
    <row r="3203" spans="1:5">
      <c r="A3203" s="4" t="str">
        <f>"20228026527"</f>
        <v>20228026527</v>
      </c>
      <c r="B3203" s="4" t="str">
        <f t="shared" si="65"/>
        <v>20220207</v>
      </c>
      <c r="C3203" s="5">
        <v>0</v>
      </c>
      <c r="D3203" s="5">
        <v>0</v>
      </c>
      <c r="E3203" s="5">
        <v>0</v>
      </c>
    </row>
    <row r="3204" spans="1:5">
      <c r="A3204" s="4" t="str">
        <f>"20228026528"</f>
        <v>20228026528</v>
      </c>
      <c r="B3204" s="4" t="str">
        <f t="shared" si="65"/>
        <v>20220207</v>
      </c>
      <c r="C3204" s="5">
        <v>0</v>
      </c>
      <c r="D3204" s="5">
        <v>0</v>
      </c>
      <c r="E3204" s="5">
        <v>0</v>
      </c>
    </row>
    <row r="3205" spans="1:5">
      <c r="A3205" s="4" t="str">
        <f>"20228026529"</f>
        <v>20228026529</v>
      </c>
      <c r="B3205" s="4" t="str">
        <f t="shared" si="65"/>
        <v>20220207</v>
      </c>
      <c r="C3205" s="5">
        <v>0</v>
      </c>
      <c r="D3205" s="5">
        <v>0</v>
      </c>
      <c r="E3205" s="5">
        <v>0</v>
      </c>
    </row>
    <row r="3206" spans="1:5">
      <c r="A3206" s="4" t="str">
        <f>"20228026601"</f>
        <v>20228026601</v>
      </c>
      <c r="B3206" s="4" t="str">
        <f t="shared" ref="B3206:B3232" si="66">"20220108"</f>
        <v>20220108</v>
      </c>
      <c r="C3206" s="5">
        <v>0</v>
      </c>
      <c r="D3206" s="5">
        <v>0</v>
      </c>
      <c r="E3206" s="5">
        <v>0</v>
      </c>
    </row>
    <row r="3207" spans="1:5">
      <c r="A3207" s="4" t="str">
        <f>"20228026602"</f>
        <v>20228026602</v>
      </c>
      <c r="B3207" s="4" t="str">
        <f t="shared" si="66"/>
        <v>20220108</v>
      </c>
      <c r="C3207" s="5">
        <v>79.99</v>
      </c>
      <c r="D3207" s="5">
        <v>99.3</v>
      </c>
      <c r="E3207" s="5">
        <v>91.58</v>
      </c>
    </row>
    <row r="3208" spans="1:5">
      <c r="A3208" s="4" t="str">
        <f>"20228026603"</f>
        <v>20228026603</v>
      </c>
      <c r="B3208" s="4" t="str">
        <f t="shared" si="66"/>
        <v>20220108</v>
      </c>
      <c r="C3208" s="5">
        <v>99.93</v>
      </c>
      <c r="D3208" s="5">
        <v>98.9</v>
      </c>
      <c r="E3208" s="5">
        <v>99.31</v>
      </c>
    </row>
    <row r="3209" spans="1:5">
      <c r="A3209" s="4" t="str">
        <f>"20228026604"</f>
        <v>20228026604</v>
      </c>
      <c r="B3209" s="4" t="str">
        <f t="shared" si="66"/>
        <v>20220108</v>
      </c>
      <c r="C3209" s="5">
        <v>0</v>
      </c>
      <c r="D3209" s="5">
        <v>0</v>
      </c>
      <c r="E3209" s="5">
        <v>0</v>
      </c>
    </row>
    <row r="3210" spans="1:5">
      <c r="A3210" s="4" t="str">
        <f>"20228026605"</f>
        <v>20228026605</v>
      </c>
      <c r="B3210" s="4" t="str">
        <f t="shared" si="66"/>
        <v>20220108</v>
      </c>
      <c r="C3210" s="5">
        <v>101.5</v>
      </c>
      <c r="D3210" s="5">
        <v>107.8</v>
      </c>
      <c r="E3210" s="5">
        <v>105.28</v>
      </c>
    </row>
    <row r="3211" spans="1:5">
      <c r="A3211" s="4" t="str">
        <f>"20228026606"</f>
        <v>20228026606</v>
      </c>
      <c r="B3211" s="4" t="str">
        <f t="shared" si="66"/>
        <v>20220108</v>
      </c>
      <c r="C3211" s="5">
        <v>0</v>
      </c>
      <c r="D3211" s="5">
        <v>0</v>
      </c>
      <c r="E3211" s="5">
        <v>0</v>
      </c>
    </row>
    <row r="3212" spans="1:5">
      <c r="A3212" s="4" t="str">
        <f>"20228026607"</f>
        <v>20228026607</v>
      </c>
      <c r="B3212" s="4" t="str">
        <f t="shared" si="66"/>
        <v>20220108</v>
      </c>
      <c r="C3212" s="5">
        <v>86.37</v>
      </c>
      <c r="D3212" s="5">
        <v>104.9</v>
      </c>
      <c r="E3212" s="5">
        <v>97.49</v>
      </c>
    </row>
    <row r="3213" spans="1:5">
      <c r="A3213" s="4" t="str">
        <f>"20228026608"</f>
        <v>20228026608</v>
      </c>
      <c r="B3213" s="4" t="str">
        <f t="shared" si="66"/>
        <v>20220108</v>
      </c>
      <c r="C3213" s="5">
        <v>92.59</v>
      </c>
      <c r="D3213" s="5">
        <v>108</v>
      </c>
      <c r="E3213" s="5">
        <v>101.84</v>
      </c>
    </row>
    <row r="3214" spans="1:5">
      <c r="A3214" s="4" t="str">
        <f>"20228026609"</f>
        <v>20228026609</v>
      </c>
      <c r="B3214" s="4" t="str">
        <f t="shared" si="66"/>
        <v>20220108</v>
      </c>
      <c r="C3214" s="5">
        <v>97.25</v>
      </c>
      <c r="D3214" s="5">
        <v>106.8</v>
      </c>
      <c r="E3214" s="5">
        <v>102.98</v>
      </c>
    </row>
    <row r="3215" spans="1:5">
      <c r="A3215" s="4" t="str">
        <f>"20228026610"</f>
        <v>20228026610</v>
      </c>
      <c r="B3215" s="4" t="str">
        <f t="shared" si="66"/>
        <v>20220108</v>
      </c>
      <c r="C3215" s="5">
        <v>80.35</v>
      </c>
      <c r="D3215" s="5">
        <v>97.6</v>
      </c>
      <c r="E3215" s="5">
        <v>90.7</v>
      </c>
    </row>
    <row r="3216" spans="1:5">
      <c r="A3216" s="4" t="str">
        <f>"20228026611"</f>
        <v>20228026611</v>
      </c>
      <c r="B3216" s="4" t="str">
        <f t="shared" si="66"/>
        <v>20220108</v>
      </c>
      <c r="C3216" s="5">
        <v>0</v>
      </c>
      <c r="D3216" s="5">
        <v>0</v>
      </c>
      <c r="E3216" s="5">
        <v>0</v>
      </c>
    </row>
    <row r="3217" spans="1:5">
      <c r="A3217" s="4" t="str">
        <f>"20228026612"</f>
        <v>20228026612</v>
      </c>
      <c r="B3217" s="4" t="str">
        <f t="shared" si="66"/>
        <v>20220108</v>
      </c>
      <c r="C3217" s="5">
        <v>0</v>
      </c>
      <c r="D3217" s="5">
        <v>0</v>
      </c>
      <c r="E3217" s="5">
        <v>0</v>
      </c>
    </row>
    <row r="3218" spans="1:5">
      <c r="A3218" s="4" t="str">
        <f>"20228026613"</f>
        <v>20228026613</v>
      </c>
      <c r="B3218" s="4" t="str">
        <f t="shared" si="66"/>
        <v>20220108</v>
      </c>
      <c r="C3218" s="5">
        <v>0</v>
      </c>
      <c r="D3218" s="5">
        <v>0</v>
      </c>
      <c r="E3218" s="5">
        <v>0</v>
      </c>
    </row>
    <row r="3219" spans="1:5">
      <c r="A3219" s="4" t="str">
        <f>"20228026614"</f>
        <v>20228026614</v>
      </c>
      <c r="B3219" s="4" t="str">
        <f t="shared" si="66"/>
        <v>20220108</v>
      </c>
      <c r="C3219" s="5">
        <v>0</v>
      </c>
      <c r="D3219" s="5">
        <v>0</v>
      </c>
      <c r="E3219" s="5">
        <v>0</v>
      </c>
    </row>
    <row r="3220" spans="1:5">
      <c r="A3220" s="4" t="str">
        <f>"20228026615"</f>
        <v>20228026615</v>
      </c>
      <c r="B3220" s="4" t="str">
        <f t="shared" si="66"/>
        <v>20220108</v>
      </c>
      <c r="C3220" s="5">
        <v>0</v>
      </c>
      <c r="D3220" s="5">
        <v>0</v>
      </c>
      <c r="E3220" s="5">
        <v>0</v>
      </c>
    </row>
    <row r="3221" spans="1:5">
      <c r="A3221" s="4" t="str">
        <f>"20228026616"</f>
        <v>20228026616</v>
      </c>
      <c r="B3221" s="4" t="str">
        <f t="shared" si="66"/>
        <v>20220108</v>
      </c>
      <c r="C3221" s="5">
        <v>0</v>
      </c>
      <c r="D3221" s="5">
        <v>0</v>
      </c>
      <c r="E3221" s="5">
        <v>0</v>
      </c>
    </row>
    <row r="3222" spans="1:5">
      <c r="A3222" s="4" t="str">
        <f>"20228026617"</f>
        <v>20228026617</v>
      </c>
      <c r="B3222" s="4" t="str">
        <f t="shared" si="66"/>
        <v>20220108</v>
      </c>
      <c r="C3222" s="5">
        <v>70.54</v>
      </c>
      <c r="D3222" s="5">
        <v>93</v>
      </c>
      <c r="E3222" s="5">
        <v>84.02</v>
      </c>
    </row>
    <row r="3223" spans="1:5">
      <c r="A3223" s="4" t="str">
        <f>"20228026618"</f>
        <v>20228026618</v>
      </c>
      <c r="B3223" s="4" t="str">
        <f t="shared" si="66"/>
        <v>20220108</v>
      </c>
      <c r="C3223" s="5">
        <v>0</v>
      </c>
      <c r="D3223" s="5">
        <v>0</v>
      </c>
      <c r="E3223" s="5">
        <v>0</v>
      </c>
    </row>
    <row r="3224" spans="1:5">
      <c r="A3224" s="4" t="str">
        <f>"20228026619"</f>
        <v>20228026619</v>
      </c>
      <c r="B3224" s="4" t="str">
        <f t="shared" si="66"/>
        <v>20220108</v>
      </c>
      <c r="C3224" s="5">
        <v>69.01</v>
      </c>
      <c r="D3224" s="5">
        <v>93.2</v>
      </c>
      <c r="E3224" s="5">
        <v>83.52</v>
      </c>
    </row>
    <row r="3225" spans="1:5">
      <c r="A3225" s="4" t="str">
        <f>"20228026620"</f>
        <v>20228026620</v>
      </c>
      <c r="B3225" s="4" t="str">
        <f t="shared" si="66"/>
        <v>20220108</v>
      </c>
      <c r="C3225" s="5">
        <v>0</v>
      </c>
      <c r="D3225" s="5">
        <v>0</v>
      </c>
      <c r="E3225" s="5">
        <v>0</v>
      </c>
    </row>
    <row r="3226" spans="1:5">
      <c r="A3226" s="4" t="str">
        <f>"20228026621"</f>
        <v>20228026621</v>
      </c>
      <c r="B3226" s="4" t="str">
        <f t="shared" si="66"/>
        <v>20220108</v>
      </c>
      <c r="C3226" s="5">
        <v>0</v>
      </c>
      <c r="D3226" s="5">
        <v>0</v>
      </c>
      <c r="E3226" s="5">
        <v>0</v>
      </c>
    </row>
    <row r="3227" spans="1:5">
      <c r="A3227" s="4" t="str">
        <f>"20228026622"</f>
        <v>20228026622</v>
      </c>
      <c r="B3227" s="4" t="str">
        <f t="shared" si="66"/>
        <v>20220108</v>
      </c>
      <c r="C3227" s="5">
        <v>0</v>
      </c>
      <c r="D3227" s="5">
        <v>0</v>
      </c>
      <c r="E3227" s="5">
        <v>0</v>
      </c>
    </row>
    <row r="3228" spans="1:5">
      <c r="A3228" s="4" t="str">
        <f>"20228026623"</f>
        <v>20228026623</v>
      </c>
      <c r="B3228" s="4" t="str">
        <f t="shared" si="66"/>
        <v>20220108</v>
      </c>
      <c r="C3228" s="5">
        <v>76.69</v>
      </c>
      <c r="D3228" s="5">
        <v>99.7</v>
      </c>
      <c r="E3228" s="5">
        <v>90.5</v>
      </c>
    </row>
    <row r="3229" spans="1:5">
      <c r="A3229" s="4" t="str">
        <f>"20228026624"</f>
        <v>20228026624</v>
      </c>
      <c r="B3229" s="4" t="str">
        <f t="shared" si="66"/>
        <v>20220108</v>
      </c>
      <c r="C3229" s="5">
        <v>0</v>
      </c>
      <c r="D3229" s="5">
        <v>0</v>
      </c>
      <c r="E3229" s="5">
        <v>0</v>
      </c>
    </row>
    <row r="3230" spans="1:5">
      <c r="A3230" s="4" t="str">
        <f>"20228026625"</f>
        <v>20228026625</v>
      </c>
      <c r="B3230" s="4" t="str">
        <f t="shared" si="66"/>
        <v>20220108</v>
      </c>
      <c r="C3230" s="5">
        <v>77.62</v>
      </c>
      <c r="D3230" s="5">
        <v>99.1</v>
      </c>
      <c r="E3230" s="5">
        <v>90.51</v>
      </c>
    </row>
    <row r="3231" spans="1:5">
      <c r="A3231" s="4" t="str">
        <f>"20228026626"</f>
        <v>20228026626</v>
      </c>
      <c r="B3231" s="4" t="str">
        <f t="shared" si="66"/>
        <v>20220108</v>
      </c>
      <c r="C3231" s="5">
        <v>83.02</v>
      </c>
      <c r="D3231" s="5">
        <v>101.1</v>
      </c>
      <c r="E3231" s="5">
        <v>93.87</v>
      </c>
    </row>
    <row r="3232" spans="1:5">
      <c r="A3232" s="4" t="str">
        <f>"20228026627"</f>
        <v>20228026627</v>
      </c>
      <c r="B3232" s="4" t="str">
        <f t="shared" si="66"/>
        <v>20220108</v>
      </c>
      <c r="C3232" s="5">
        <v>86.94</v>
      </c>
      <c r="D3232" s="5">
        <v>107.7</v>
      </c>
      <c r="E3232" s="5">
        <v>99.4</v>
      </c>
    </row>
    <row r="3233" spans="1:5">
      <c r="A3233" s="4" t="str">
        <f>"20228026628"</f>
        <v>20228026628</v>
      </c>
      <c r="B3233" s="4" t="str">
        <f t="shared" ref="B3233:B3246" si="67">"20220208"</f>
        <v>20220208</v>
      </c>
      <c r="C3233" s="5">
        <v>0</v>
      </c>
      <c r="D3233" s="5">
        <v>0</v>
      </c>
      <c r="E3233" s="5">
        <v>0</v>
      </c>
    </row>
    <row r="3234" spans="1:5">
      <c r="A3234" s="4" t="str">
        <f>"20228026629"</f>
        <v>20228026629</v>
      </c>
      <c r="B3234" s="4" t="str">
        <f t="shared" si="67"/>
        <v>20220208</v>
      </c>
      <c r="C3234" s="5">
        <v>78.52</v>
      </c>
      <c r="D3234" s="5">
        <v>103.4</v>
      </c>
      <c r="E3234" s="5">
        <v>93.45</v>
      </c>
    </row>
    <row r="3235" spans="1:5">
      <c r="A3235" s="4" t="str">
        <f>"20228026630"</f>
        <v>20228026630</v>
      </c>
      <c r="B3235" s="4" t="str">
        <f t="shared" si="67"/>
        <v>20220208</v>
      </c>
      <c r="C3235" s="5">
        <v>79.32</v>
      </c>
      <c r="D3235" s="5">
        <v>91.6</v>
      </c>
      <c r="E3235" s="5">
        <v>86.69</v>
      </c>
    </row>
    <row r="3236" spans="1:5">
      <c r="A3236" s="4" t="str">
        <f>"20228026701"</f>
        <v>20228026701</v>
      </c>
      <c r="B3236" s="4" t="str">
        <f t="shared" si="67"/>
        <v>20220208</v>
      </c>
      <c r="C3236" s="5">
        <v>98.47</v>
      </c>
      <c r="D3236" s="5">
        <v>92</v>
      </c>
      <c r="E3236" s="5">
        <v>94.59</v>
      </c>
    </row>
    <row r="3237" spans="1:5">
      <c r="A3237" s="4" t="str">
        <f>"20228026702"</f>
        <v>20228026702</v>
      </c>
      <c r="B3237" s="4" t="str">
        <f t="shared" si="67"/>
        <v>20220208</v>
      </c>
      <c r="C3237" s="5">
        <v>0</v>
      </c>
      <c r="D3237" s="5">
        <v>0</v>
      </c>
      <c r="E3237" s="5">
        <v>0</v>
      </c>
    </row>
    <row r="3238" spans="1:5">
      <c r="A3238" s="4" t="str">
        <f>"20228026703"</f>
        <v>20228026703</v>
      </c>
      <c r="B3238" s="4" t="str">
        <f t="shared" si="67"/>
        <v>20220208</v>
      </c>
      <c r="C3238" s="5">
        <v>0</v>
      </c>
      <c r="D3238" s="5">
        <v>0</v>
      </c>
      <c r="E3238" s="5">
        <v>0</v>
      </c>
    </row>
    <row r="3239" spans="1:5">
      <c r="A3239" s="4" t="str">
        <f>"20228026704"</f>
        <v>20228026704</v>
      </c>
      <c r="B3239" s="4" t="str">
        <f t="shared" si="67"/>
        <v>20220208</v>
      </c>
      <c r="C3239" s="5">
        <v>0</v>
      </c>
      <c r="D3239" s="5">
        <v>0</v>
      </c>
      <c r="E3239" s="5">
        <v>0</v>
      </c>
    </row>
    <row r="3240" spans="1:5">
      <c r="A3240" s="4" t="str">
        <f>"20228026705"</f>
        <v>20228026705</v>
      </c>
      <c r="B3240" s="4" t="str">
        <f t="shared" si="67"/>
        <v>20220208</v>
      </c>
      <c r="C3240" s="5">
        <v>0</v>
      </c>
      <c r="D3240" s="5">
        <v>0</v>
      </c>
      <c r="E3240" s="5">
        <v>0</v>
      </c>
    </row>
    <row r="3241" spans="1:5">
      <c r="A3241" s="4" t="str">
        <f>"20228026706"</f>
        <v>20228026706</v>
      </c>
      <c r="B3241" s="4" t="str">
        <f t="shared" si="67"/>
        <v>20220208</v>
      </c>
      <c r="C3241" s="5">
        <v>60.51</v>
      </c>
      <c r="D3241" s="5">
        <v>92.2</v>
      </c>
      <c r="E3241" s="5">
        <v>79.52</v>
      </c>
    </row>
    <row r="3242" spans="1:5">
      <c r="A3242" s="4" t="str">
        <f>"20228026707"</f>
        <v>20228026707</v>
      </c>
      <c r="B3242" s="4" t="str">
        <f t="shared" si="67"/>
        <v>20220208</v>
      </c>
      <c r="C3242" s="5">
        <v>0</v>
      </c>
      <c r="D3242" s="5">
        <v>0</v>
      </c>
      <c r="E3242" s="5">
        <v>0</v>
      </c>
    </row>
    <row r="3243" spans="1:5">
      <c r="A3243" s="4" t="str">
        <f>"20228026708"</f>
        <v>20228026708</v>
      </c>
      <c r="B3243" s="4" t="str">
        <f t="shared" si="67"/>
        <v>20220208</v>
      </c>
      <c r="C3243" s="5">
        <v>74.13</v>
      </c>
      <c r="D3243" s="5">
        <v>101.8</v>
      </c>
      <c r="E3243" s="5">
        <v>90.73</v>
      </c>
    </row>
    <row r="3244" spans="1:5">
      <c r="A3244" s="4" t="str">
        <f>"20228026709"</f>
        <v>20228026709</v>
      </c>
      <c r="B3244" s="4" t="str">
        <f t="shared" si="67"/>
        <v>20220208</v>
      </c>
      <c r="C3244" s="5">
        <v>0</v>
      </c>
      <c r="D3244" s="5">
        <v>0</v>
      </c>
      <c r="E3244" s="5">
        <v>0</v>
      </c>
    </row>
    <row r="3245" spans="1:5">
      <c r="A3245" s="4" t="str">
        <f>"20228026710"</f>
        <v>20228026710</v>
      </c>
      <c r="B3245" s="4" t="str">
        <f t="shared" si="67"/>
        <v>20220208</v>
      </c>
      <c r="C3245" s="5">
        <v>85.87</v>
      </c>
      <c r="D3245" s="5">
        <v>103.8</v>
      </c>
      <c r="E3245" s="5">
        <v>96.63</v>
      </c>
    </row>
    <row r="3246" spans="1:5">
      <c r="A3246" s="4" t="str">
        <f>"20228026711"</f>
        <v>20228026711</v>
      </c>
      <c r="B3246" s="4" t="str">
        <f t="shared" si="67"/>
        <v>20220208</v>
      </c>
      <c r="C3246" s="5">
        <v>0</v>
      </c>
      <c r="D3246" s="5">
        <v>0</v>
      </c>
      <c r="E3246" s="5">
        <v>0</v>
      </c>
    </row>
    <row r="3247" spans="1:5">
      <c r="A3247" s="4" t="str">
        <f>"20228026712"</f>
        <v>20228026712</v>
      </c>
      <c r="B3247" s="4" t="str">
        <f t="shared" ref="B3247:B3310" si="68">"20220213"</f>
        <v>20220213</v>
      </c>
      <c r="C3247" s="5">
        <v>88.75</v>
      </c>
      <c r="D3247" s="5">
        <v>97.8</v>
      </c>
      <c r="E3247" s="5">
        <v>94.18</v>
      </c>
    </row>
    <row r="3248" spans="1:5">
      <c r="A3248" s="4" t="str">
        <f>"20228026713"</f>
        <v>20228026713</v>
      </c>
      <c r="B3248" s="4" t="str">
        <f t="shared" si="68"/>
        <v>20220213</v>
      </c>
      <c r="C3248" s="5">
        <v>0</v>
      </c>
      <c r="D3248" s="5">
        <v>0</v>
      </c>
      <c r="E3248" s="5">
        <v>0</v>
      </c>
    </row>
    <row r="3249" spans="1:5">
      <c r="A3249" s="4" t="str">
        <f>"20228026714"</f>
        <v>20228026714</v>
      </c>
      <c r="B3249" s="4" t="str">
        <f t="shared" si="68"/>
        <v>20220213</v>
      </c>
      <c r="C3249" s="5">
        <v>64.07</v>
      </c>
      <c r="D3249" s="5">
        <v>81.5</v>
      </c>
      <c r="E3249" s="5">
        <v>74.53</v>
      </c>
    </row>
    <row r="3250" spans="1:5">
      <c r="A3250" s="4" t="str">
        <f>"20228026715"</f>
        <v>20228026715</v>
      </c>
      <c r="B3250" s="4" t="str">
        <f t="shared" si="68"/>
        <v>20220213</v>
      </c>
      <c r="C3250" s="5">
        <v>84.19</v>
      </c>
      <c r="D3250" s="5">
        <v>100.8</v>
      </c>
      <c r="E3250" s="5">
        <v>94.16</v>
      </c>
    </row>
    <row r="3251" spans="1:5">
      <c r="A3251" s="4" t="str">
        <f>"20228026716"</f>
        <v>20228026716</v>
      </c>
      <c r="B3251" s="4" t="str">
        <f t="shared" si="68"/>
        <v>20220213</v>
      </c>
      <c r="C3251" s="5">
        <v>0</v>
      </c>
      <c r="D3251" s="5">
        <v>0</v>
      </c>
      <c r="E3251" s="5">
        <v>0</v>
      </c>
    </row>
    <row r="3252" spans="1:5">
      <c r="A3252" s="4" t="str">
        <f>"20228026717"</f>
        <v>20228026717</v>
      </c>
      <c r="B3252" s="4" t="str">
        <f t="shared" si="68"/>
        <v>20220213</v>
      </c>
      <c r="C3252" s="5">
        <v>0</v>
      </c>
      <c r="D3252" s="5">
        <v>0</v>
      </c>
      <c r="E3252" s="5">
        <v>0</v>
      </c>
    </row>
    <row r="3253" spans="1:5">
      <c r="A3253" s="4" t="str">
        <f>"20228026718"</f>
        <v>20228026718</v>
      </c>
      <c r="B3253" s="4" t="str">
        <f t="shared" si="68"/>
        <v>20220213</v>
      </c>
      <c r="C3253" s="5">
        <v>0</v>
      </c>
      <c r="D3253" s="5">
        <v>0</v>
      </c>
      <c r="E3253" s="5">
        <v>0</v>
      </c>
    </row>
    <row r="3254" spans="1:5">
      <c r="A3254" s="4" t="str">
        <f>"20228026719"</f>
        <v>20228026719</v>
      </c>
      <c r="B3254" s="4" t="str">
        <f t="shared" si="68"/>
        <v>20220213</v>
      </c>
      <c r="C3254" s="5">
        <v>77.29</v>
      </c>
      <c r="D3254" s="5">
        <v>94.4</v>
      </c>
      <c r="E3254" s="5">
        <v>87.56</v>
      </c>
    </row>
    <row r="3255" spans="1:5">
      <c r="A3255" s="4" t="str">
        <f>"20228026720"</f>
        <v>20228026720</v>
      </c>
      <c r="B3255" s="4" t="str">
        <f t="shared" si="68"/>
        <v>20220213</v>
      </c>
      <c r="C3255" s="5">
        <v>81.86</v>
      </c>
      <c r="D3255" s="5">
        <v>90.4</v>
      </c>
      <c r="E3255" s="5">
        <v>86.98</v>
      </c>
    </row>
    <row r="3256" spans="1:5">
      <c r="A3256" s="4" t="str">
        <f>"20228026721"</f>
        <v>20228026721</v>
      </c>
      <c r="B3256" s="4" t="str">
        <f t="shared" si="68"/>
        <v>20220213</v>
      </c>
      <c r="C3256" s="5">
        <v>0</v>
      </c>
      <c r="D3256" s="5">
        <v>0</v>
      </c>
      <c r="E3256" s="5">
        <v>0</v>
      </c>
    </row>
    <row r="3257" spans="1:5">
      <c r="A3257" s="4" t="str">
        <f>"20228026722"</f>
        <v>20228026722</v>
      </c>
      <c r="B3257" s="4" t="str">
        <f t="shared" si="68"/>
        <v>20220213</v>
      </c>
      <c r="C3257" s="5">
        <v>0</v>
      </c>
      <c r="D3257" s="5">
        <v>0</v>
      </c>
      <c r="E3257" s="5">
        <v>0</v>
      </c>
    </row>
    <row r="3258" spans="1:5">
      <c r="A3258" s="4" t="str">
        <f>"20228026723"</f>
        <v>20228026723</v>
      </c>
      <c r="B3258" s="4" t="str">
        <f t="shared" si="68"/>
        <v>20220213</v>
      </c>
      <c r="C3258" s="5">
        <v>86.61</v>
      </c>
      <c r="D3258" s="5">
        <v>94.2</v>
      </c>
      <c r="E3258" s="5">
        <v>91.16</v>
      </c>
    </row>
    <row r="3259" spans="1:5">
      <c r="A3259" s="4" t="str">
        <f>"20228026724"</f>
        <v>20228026724</v>
      </c>
      <c r="B3259" s="4" t="str">
        <f t="shared" si="68"/>
        <v>20220213</v>
      </c>
      <c r="C3259" s="5">
        <v>86.38</v>
      </c>
      <c r="D3259" s="5">
        <v>95.5</v>
      </c>
      <c r="E3259" s="5">
        <v>91.85</v>
      </c>
    </row>
    <row r="3260" spans="1:5">
      <c r="A3260" s="4" t="str">
        <f>"20228026725"</f>
        <v>20228026725</v>
      </c>
      <c r="B3260" s="4" t="str">
        <f t="shared" si="68"/>
        <v>20220213</v>
      </c>
      <c r="C3260" s="5">
        <v>94.04</v>
      </c>
      <c r="D3260" s="5">
        <v>101.1</v>
      </c>
      <c r="E3260" s="5">
        <v>98.28</v>
      </c>
    </row>
    <row r="3261" spans="1:5">
      <c r="A3261" s="4" t="str">
        <f>"20228026726"</f>
        <v>20228026726</v>
      </c>
      <c r="B3261" s="4" t="str">
        <f t="shared" si="68"/>
        <v>20220213</v>
      </c>
      <c r="C3261" s="5">
        <v>96.33</v>
      </c>
      <c r="D3261" s="5">
        <v>104.3</v>
      </c>
      <c r="E3261" s="5">
        <v>101.11</v>
      </c>
    </row>
    <row r="3262" spans="1:5">
      <c r="A3262" s="4" t="str">
        <f>"20228026727"</f>
        <v>20228026727</v>
      </c>
      <c r="B3262" s="4" t="str">
        <f t="shared" si="68"/>
        <v>20220213</v>
      </c>
      <c r="C3262" s="5">
        <v>68.47</v>
      </c>
      <c r="D3262" s="5">
        <v>91.2</v>
      </c>
      <c r="E3262" s="5">
        <v>82.11</v>
      </c>
    </row>
    <row r="3263" spans="1:5">
      <c r="A3263" s="4" t="str">
        <f>"20228026728"</f>
        <v>20228026728</v>
      </c>
      <c r="B3263" s="4" t="str">
        <f t="shared" si="68"/>
        <v>20220213</v>
      </c>
      <c r="C3263" s="5">
        <v>0</v>
      </c>
      <c r="D3263" s="5">
        <v>0</v>
      </c>
      <c r="E3263" s="5">
        <v>0</v>
      </c>
    </row>
    <row r="3264" spans="1:5">
      <c r="A3264" s="4" t="str">
        <f>"20228026729"</f>
        <v>20228026729</v>
      </c>
      <c r="B3264" s="4" t="str">
        <f t="shared" si="68"/>
        <v>20220213</v>
      </c>
      <c r="C3264" s="5">
        <v>0</v>
      </c>
      <c r="D3264" s="5">
        <v>0</v>
      </c>
      <c r="E3264" s="5">
        <v>0</v>
      </c>
    </row>
    <row r="3265" spans="1:5">
      <c r="A3265" s="4" t="str">
        <f>"20228026730"</f>
        <v>20228026730</v>
      </c>
      <c r="B3265" s="4" t="str">
        <f t="shared" si="68"/>
        <v>20220213</v>
      </c>
      <c r="C3265" s="5">
        <v>83.96</v>
      </c>
      <c r="D3265" s="5">
        <v>97.8</v>
      </c>
      <c r="E3265" s="5">
        <v>92.26</v>
      </c>
    </row>
    <row r="3266" spans="1:5">
      <c r="A3266" s="4" t="str">
        <f>"20228026801"</f>
        <v>20228026801</v>
      </c>
      <c r="B3266" s="4" t="str">
        <f t="shared" si="68"/>
        <v>20220213</v>
      </c>
      <c r="C3266" s="5">
        <v>0</v>
      </c>
      <c r="D3266" s="5">
        <v>0</v>
      </c>
      <c r="E3266" s="5">
        <v>0</v>
      </c>
    </row>
    <row r="3267" spans="1:5">
      <c r="A3267" s="4" t="str">
        <f>"20228026802"</f>
        <v>20228026802</v>
      </c>
      <c r="B3267" s="4" t="str">
        <f t="shared" si="68"/>
        <v>20220213</v>
      </c>
      <c r="C3267" s="5">
        <v>73.19</v>
      </c>
      <c r="D3267" s="5">
        <v>95.1</v>
      </c>
      <c r="E3267" s="5">
        <v>86.34</v>
      </c>
    </row>
    <row r="3268" spans="1:5">
      <c r="A3268" s="4" t="str">
        <f>"20228026803"</f>
        <v>20228026803</v>
      </c>
      <c r="B3268" s="4" t="str">
        <f t="shared" si="68"/>
        <v>20220213</v>
      </c>
      <c r="C3268" s="5">
        <v>94.69</v>
      </c>
      <c r="D3268" s="5">
        <v>103.5</v>
      </c>
      <c r="E3268" s="5">
        <v>99.98</v>
      </c>
    </row>
    <row r="3269" spans="1:5">
      <c r="A3269" s="4" t="str">
        <f>"20228026804"</f>
        <v>20228026804</v>
      </c>
      <c r="B3269" s="4" t="str">
        <f t="shared" si="68"/>
        <v>20220213</v>
      </c>
      <c r="C3269" s="5">
        <v>77.12</v>
      </c>
      <c r="D3269" s="5">
        <v>90.3</v>
      </c>
      <c r="E3269" s="5">
        <v>85.03</v>
      </c>
    </row>
    <row r="3270" spans="1:5">
      <c r="A3270" s="4" t="str">
        <f>"20228026805"</f>
        <v>20228026805</v>
      </c>
      <c r="B3270" s="4" t="str">
        <f t="shared" si="68"/>
        <v>20220213</v>
      </c>
      <c r="C3270" s="5">
        <v>77.57</v>
      </c>
      <c r="D3270" s="5">
        <v>96</v>
      </c>
      <c r="E3270" s="5">
        <v>88.63</v>
      </c>
    </row>
    <row r="3271" spans="1:5">
      <c r="A3271" s="4" t="str">
        <f>"20228026806"</f>
        <v>20228026806</v>
      </c>
      <c r="B3271" s="4" t="str">
        <f t="shared" si="68"/>
        <v>20220213</v>
      </c>
      <c r="C3271" s="5">
        <v>72.39</v>
      </c>
      <c r="D3271" s="5">
        <v>91.6</v>
      </c>
      <c r="E3271" s="5">
        <v>83.92</v>
      </c>
    </row>
    <row r="3272" spans="1:5">
      <c r="A3272" s="4" t="str">
        <f>"20228026807"</f>
        <v>20228026807</v>
      </c>
      <c r="B3272" s="4" t="str">
        <f t="shared" si="68"/>
        <v>20220213</v>
      </c>
      <c r="C3272" s="5">
        <v>78.58</v>
      </c>
      <c r="D3272" s="5">
        <v>92.8</v>
      </c>
      <c r="E3272" s="5">
        <v>87.11</v>
      </c>
    </row>
    <row r="3273" spans="1:5">
      <c r="A3273" s="4" t="str">
        <f>"20228026808"</f>
        <v>20228026808</v>
      </c>
      <c r="B3273" s="4" t="str">
        <f t="shared" si="68"/>
        <v>20220213</v>
      </c>
      <c r="C3273" s="5">
        <v>0</v>
      </c>
      <c r="D3273" s="5">
        <v>0</v>
      </c>
      <c r="E3273" s="5">
        <v>0</v>
      </c>
    </row>
    <row r="3274" spans="1:5">
      <c r="A3274" s="4" t="str">
        <f>"20228026809"</f>
        <v>20228026809</v>
      </c>
      <c r="B3274" s="4" t="str">
        <f t="shared" si="68"/>
        <v>20220213</v>
      </c>
      <c r="C3274" s="5">
        <v>59.28</v>
      </c>
      <c r="D3274" s="5">
        <v>87.5</v>
      </c>
      <c r="E3274" s="5">
        <v>76.21</v>
      </c>
    </row>
    <row r="3275" spans="1:5">
      <c r="A3275" s="4" t="str">
        <f>"20228026810"</f>
        <v>20228026810</v>
      </c>
      <c r="B3275" s="4" t="str">
        <f t="shared" si="68"/>
        <v>20220213</v>
      </c>
      <c r="C3275" s="5">
        <v>0</v>
      </c>
      <c r="D3275" s="5">
        <v>0</v>
      </c>
      <c r="E3275" s="5">
        <v>0</v>
      </c>
    </row>
    <row r="3276" spans="1:5">
      <c r="A3276" s="4" t="str">
        <f>"20228026811"</f>
        <v>20228026811</v>
      </c>
      <c r="B3276" s="4" t="str">
        <f t="shared" si="68"/>
        <v>20220213</v>
      </c>
      <c r="C3276" s="5">
        <v>82.87</v>
      </c>
      <c r="D3276" s="5">
        <v>102.9</v>
      </c>
      <c r="E3276" s="5">
        <v>94.89</v>
      </c>
    </row>
    <row r="3277" spans="1:5">
      <c r="A3277" s="4" t="str">
        <f>"20228026812"</f>
        <v>20228026812</v>
      </c>
      <c r="B3277" s="4" t="str">
        <f t="shared" si="68"/>
        <v>20220213</v>
      </c>
      <c r="C3277" s="5">
        <v>87.32</v>
      </c>
      <c r="D3277" s="5">
        <v>97.5</v>
      </c>
      <c r="E3277" s="5">
        <v>93.43</v>
      </c>
    </row>
    <row r="3278" spans="1:5">
      <c r="A3278" s="4" t="str">
        <f>"20228026813"</f>
        <v>20228026813</v>
      </c>
      <c r="B3278" s="4" t="str">
        <f t="shared" si="68"/>
        <v>20220213</v>
      </c>
      <c r="C3278" s="5">
        <v>42.11</v>
      </c>
      <c r="D3278" s="5">
        <v>83.1</v>
      </c>
      <c r="E3278" s="5">
        <v>66.7</v>
      </c>
    </row>
    <row r="3279" spans="1:5">
      <c r="A3279" s="4" t="str">
        <f>"20228026814"</f>
        <v>20228026814</v>
      </c>
      <c r="B3279" s="4" t="str">
        <f t="shared" si="68"/>
        <v>20220213</v>
      </c>
      <c r="C3279" s="5">
        <v>62.12</v>
      </c>
      <c r="D3279" s="5">
        <v>91.9</v>
      </c>
      <c r="E3279" s="5">
        <v>79.99</v>
      </c>
    </row>
    <row r="3280" spans="1:5">
      <c r="A3280" s="4" t="str">
        <f>"20228026815"</f>
        <v>20228026815</v>
      </c>
      <c r="B3280" s="4" t="str">
        <f t="shared" si="68"/>
        <v>20220213</v>
      </c>
      <c r="C3280" s="5">
        <v>0</v>
      </c>
      <c r="D3280" s="5">
        <v>0</v>
      </c>
      <c r="E3280" s="5">
        <v>0</v>
      </c>
    </row>
    <row r="3281" spans="1:5">
      <c r="A3281" s="4" t="str">
        <f>"20228026816"</f>
        <v>20228026816</v>
      </c>
      <c r="B3281" s="4" t="str">
        <f t="shared" si="68"/>
        <v>20220213</v>
      </c>
      <c r="C3281" s="5">
        <v>64.21</v>
      </c>
      <c r="D3281" s="5">
        <v>86.7</v>
      </c>
      <c r="E3281" s="5">
        <v>77.7</v>
      </c>
    </row>
    <row r="3282" spans="1:5">
      <c r="A3282" s="4" t="str">
        <f>"20228026817"</f>
        <v>20228026817</v>
      </c>
      <c r="B3282" s="4" t="str">
        <f t="shared" si="68"/>
        <v>20220213</v>
      </c>
      <c r="C3282" s="5">
        <v>90.37</v>
      </c>
      <c r="D3282" s="5">
        <v>104.3</v>
      </c>
      <c r="E3282" s="5">
        <v>98.73</v>
      </c>
    </row>
    <row r="3283" spans="1:5">
      <c r="A3283" s="4" t="str">
        <f>"20228026818"</f>
        <v>20228026818</v>
      </c>
      <c r="B3283" s="4" t="str">
        <f t="shared" si="68"/>
        <v>20220213</v>
      </c>
      <c r="C3283" s="5">
        <v>0</v>
      </c>
      <c r="D3283" s="5">
        <v>0</v>
      </c>
      <c r="E3283" s="5">
        <v>0</v>
      </c>
    </row>
    <row r="3284" spans="1:5">
      <c r="A3284" s="4" t="str">
        <f>"20228026819"</f>
        <v>20228026819</v>
      </c>
      <c r="B3284" s="4" t="str">
        <f t="shared" si="68"/>
        <v>20220213</v>
      </c>
      <c r="C3284" s="5">
        <v>53.98</v>
      </c>
      <c r="D3284" s="5">
        <v>84.5</v>
      </c>
      <c r="E3284" s="5">
        <v>72.29</v>
      </c>
    </row>
    <row r="3285" spans="1:5">
      <c r="A3285" s="4" t="str">
        <f>"20228026820"</f>
        <v>20228026820</v>
      </c>
      <c r="B3285" s="4" t="str">
        <f t="shared" si="68"/>
        <v>20220213</v>
      </c>
      <c r="C3285" s="5">
        <v>75.35</v>
      </c>
      <c r="D3285" s="5">
        <v>99.5</v>
      </c>
      <c r="E3285" s="5">
        <v>89.84</v>
      </c>
    </row>
    <row r="3286" spans="1:5">
      <c r="A3286" s="4" t="str">
        <f>"20228026821"</f>
        <v>20228026821</v>
      </c>
      <c r="B3286" s="4" t="str">
        <f t="shared" si="68"/>
        <v>20220213</v>
      </c>
      <c r="C3286" s="5">
        <v>0</v>
      </c>
      <c r="D3286" s="5">
        <v>0</v>
      </c>
      <c r="E3286" s="5">
        <v>0</v>
      </c>
    </row>
    <row r="3287" spans="1:5">
      <c r="A3287" s="4" t="str">
        <f>"20228026822"</f>
        <v>20228026822</v>
      </c>
      <c r="B3287" s="4" t="str">
        <f t="shared" si="68"/>
        <v>20220213</v>
      </c>
      <c r="C3287" s="5">
        <v>0</v>
      </c>
      <c r="D3287" s="5">
        <v>0</v>
      </c>
      <c r="E3287" s="5">
        <v>0</v>
      </c>
    </row>
    <row r="3288" spans="1:5">
      <c r="A3288" s="4" t="str">
        <f>"20228026823"</f>
        <v>20228026823</v>
      </c>
      <c r="B3288" s="4" t="str">
        <f t="shared" si="68"/>
        <v>20220213</v>
      </c>
      <c r="C3288" s="5">
        <v>86.1</v>
      </c>
      <c r="D3288" s="5">
        <v>99.4</v>
      </c>
      <c r="E3288" s="5">
        <v>94.08</v>
      </c>
    </row>
    <row r="3289" spans="1:5">
      <c r="A3289" s="4" t="str">
        <f>"20228026824"</f>
        <v>20228026824</v>
      </c>
      <c r="B3289" s="4" t="str">
        <f t="shared" si="68"/>
        <v>20220213</v>
      </c>
      <c r="C3289" s="5">
        <v>68.22</v>
      </c>
      <c r="D3289" s="5">
        <v>89.7</v>
      </c>
      <c r="E3289" s="5">
        <v>81.11</v>
      </c>
    </row>
    <row r="3290" spans="1:5">
      <c r="A3290" s="4" t="str">
        <f>"20228026825"</f>
        <v>20228026825</v>
      </c>
      <c r="B3290" s="4" t="str">
        <f t="shared" si="68"/>
        <v>20220213</v>
      </c>
      <c r="C3290" s="5">
        <v>72.64</v>
      </c>
      <c r="D3290" s="5">
        <v>100.7</v>
      </c>
      <c r="E3290" s="5">
        <v>89.48</v>
      </c>
    </row>
    <row r="3291" spans="1:5">
      <c r="A3291" s="4" t="str">
        <f>"20228026826"</f>
        <v>20228026826</v>
      </c>
      <c r="B3291" s="4" t="str">
        <f t="shared" si="68"/>
        <v>20220213</v>
      </c>
      <c r="C3291" s="5">
        <v>73.79</v>
      </c>
      <c r="D3291" s="5">
        <v>90.2</v>
      </c>
      <c r="E3291" s="5">
        <v>83.64</v>
      </c>
    </row>
    <row r="3292" spans="1:5">
      <c r="A3292" s="4" t="str">
        <f>"20228026827"</f>
        <v>20228026827</v>
      </c>
      <c r="B3292" s="4" t="str">
        <f t="shared" si="68"/>
        <v>20220213</v>
      </c>
      <c r="C3292" s="5">
        <v>69.22</v>
      </c>
      <c r="D3292" s="5">
        <v>97.5</v>
      </c>
      <c r="E3292" s="5">
        <v>86.19</v>
      </c>
    </row>
    <row r="3293" spans="1:5">
      <c r="A3293" s="4" t="str">
        <f>"20228026828"</f>
        <v>20228026828</v>
      </c>
      <c r="B3293" s="4" t="str">
        <f t="shared" si="68"/>
        <v>20220213</v>
      </c>
      <c r="C3293" s="5">
        <v>86.63</v>
      </c>
      <c r="D3293" s="5">
        <v>103.2</v>
      </c>
      <c r="E3293" s="5">
        <v>96.57</v>
      </c>
    </row>
    <row r="3294" spans="1:5">
      <c r="A3294" s="4" t="str">
        <f>"20228026829"</f>
        <v>20228026829</v>
      </c>
      <c r="B3294" s="4" t="str">
        <f t="shared" si="68"/>
        <v>20220213</v>
      </c>
      <c r="C3294" s="5">
        <v>0</v>
      </c>
      <c r="D3294" s="5">
        <v>0</v>
      </c>
      <c r="E3294" s="5">
        <v>0</v>
      </c>
    </row>
    <row r="3295" spans="1:5">
      <c r="A3295" s="4" t="str">
        <f>"20228026830"</f>
        <v>20228026830</v>
      </c>
      <c r="B3295" s="4" t="str">
        <f t="shared" si="68"/>
        <v>20220213</v>
      </c>
      <c r="C3295" s="5">
        <v>0</v>
      </c>
      <c r="D3295" s="5">
        <v>0</v>
      </c>
      <c r="E3295" s="5">
        <v>0</v>
      </c>
    </row>
    <row r="3296" spans="1:5">
      <c r="A3296" s="4" t="str">
        <f>"20228026901"</f>
        <v>20228026901</v>
      </c>
      <c r="B3296" s="4" t="str">
        <f t="shared" si="68"/>
        <v>20220213</v>
      </c>
      <c r="C3296" s="5">
        <v>0</v>
      </c>
      <c r="D3296" s="5">
        <v>0</v>
      </c>
      <c r="E3296" s="5">
        <v>0</v>
      </c>
    </row>
    <row r="3297" spans="1:5">
      <c r="A3297" s="4" t="str">
        <f>"20228026902"</f>
        <v>20228026902</v>
      </c>
      <c r="B3297" s="4" t="str">
        <f t="shared" si="68"/>
        <v>20220213</v>
      </c>
      <c r="C3297" s="5">
        <v>71.04</v>
      </c>
      <c r="D3297" s="5">
        <v>64.4</v>
      </c>
      <c r="E3297" s="5">
        <v>67.06</v>
      </c>
    </row>
    <row r="3298" spans="1:5">
      <c r="A3298" s="4" t="str">
        <f>"20228026903"</f>
        <v>20228026903</v>
      </c>
      <c r="B3298" s="4" t="str">
        <f t="shared" si="68"/>
        <v>20220213</v>
      </c>
      <c r="C3298" s="5">
        <v>62.01</v>
      </c>
      <c r="D3298" s="5">
        <v>91.7</v>
      </c>
      <c r="E3298" s="5">
        <v>79.82</v>
      </c>
    </row>
    <row r="3299" spans="1:5">
      <c r="A3299" s="4" t="str">
        <f>"20228026904"</f>
        <v>20228026904</v>
      </c>
      <c r="B3299" s="4" t="str">
        <f t="shared" si="68"/>
        <v>20220213</v>
      </c>
      <c r="C3299" s="5">
        <v>81.84</v>
      </c>
      <c r="D3299" s="5">
        <v>101.6</v>
      </c>
      <c r="E3299" s="5">
        <v>93.7</v>
      </c>
    </row>
    <row r="3300" spans="1:5">
      <c r="A3300" s="4" t="str">
        <f>"20228026905"</f>
        <v>20228026905</v>
      </c>
      <c r="B3300" s="4" t="str">
        <f t="shared" si="68"/>
        <v>20220213</v>
      </c>
      <c r="C3300" s="5">
        <v>83.24</v>
      </c>
      <c r="D3300" s="5">
        <v>96.3</v>
      </c>
      <c r="E3300" s="5">
        <v>91.08</v>
      </c>
    </row>
    <row r="3301" spans="1:5">
      <c r="A3301" s="4" t="str">
        <f>"20228026906"</f>
        <v>20228026906</v>
      </c>
      <c r="B3301" s="4" t="str">
        <f t="shared" si="68"/>
        <v>20220213</v>
      </c>
      <c r="C3301" s="5">
        <v>0</v>
      </c>
      <c r="D3301" s="5">
        <v>0</v>
      </c>
      <c r="E3301" s="5">
        <v>0</v>
      </c>
    </row>
    <row r="3302" spans="1:5">
      <c r="A3302" s="4" t="str">
        <f>"20228026907"</f>
        <v>20228026907</v>
      </c>
      <c r="B3302" s="4" t="str">
        <f t="shared" si="68"/>
        <v>20220213</v>
      </c>
      <c r="C3302" s="5">
        <v>0</v>
      </c>
      <c r="D3302" s="5">
        <v>0</v>
      </c>
      <c r="E3302" s="5">
        <v>0</v>
      </c>
    </row>
    <row r="3303" spans="1:5">
      <c r="A3303" s="4" t="str">
        <f>"20228026908"</f>
        <v>20228026908</v>
      </c>
      <c r="B3303" s="4" t="str">
        <f t="shared" si="68"/>
        <v>20220213</v>
      </c>
      <c r="C3303" s="5">
        <v>64.02</v>
      </c>
      <c r="D3303" s="5">
        <v>89.9</v>
      </c>
      <c r="E3303" s="5">
        <v>79.55</v>
      </c>
    </row>
    <row r="3304" spans="1:5">
      <c r="A3304" s="4" t="str">
        <f>"20228026909"</f>
        <v>20228026909</v>
      </c>
      <c r="B3304" s="4" t="str">
        <f t="shared" si="68"/>
        <v>20220213</v>
      </c>
      <c r="C3304" s="5">
        <v>93.4</v>
      </c>
      <c r="D3304" s="5">
        <v>102.2</v>
      </c>
      <c r="E3304" s="5">
        <v>98.68</v>
      </c>
    </row>
    <row r="3305" spans="1:5">
      <c r="A3305" s="4" t="str">
        <f>"20228026910"</f>
        <v>20228026910</v>
      </c>
      <c r="B3305" s="4" t="str">
        <f t="shared" si="68"/>
        <v>20220213</v>
      </c>
      <c r="C3305" s="5">
        <v>0</v>
      </c>
      <c r="D3305" s="5">
        <v>0</v>
      </c>
      <c r="E3305" s="5">
        <v>0</v>
      </c>
    </row>
    <row r="3306" spans="1:5">
      <c r="A3306" s="4" t="str">
        <f>"20228026911"</f>
        <v>20228026911</v>
      </c>
      <c r="B3306" s="4" t="str">
        <f t="shared" si="68"/>
        <v>20220213</v>
      </c>
      <c r="C3306" s="5">
        <v>0</v>
      </c>
      <c r="D3306" s="5">
        <v>0</v>
      </c>
      <c r="E3306" s="5">
        <v>0</v>
      </c>
    </row>
    <row r="3307" spans="1:5">
      <c r="A3307" s="4" t="str">
        <f>"20228026912"</f>
        <v>20228026912</v>
      </c>
      <c r="B3307" s="4" t="str">
        <f t="shared" si="68"/>
        <v>20220213</v>
      </c>
      <c r="C3307" s="5">
        <v>0</v>
      </c>
      <c r="D3307" s="5">
        <v>0</v>
      </c>
      <c r="E3307" s="5">
        <v>0</v>
      </c>
    </row>
    <row r="3308" spans="1:5">
      <c r="A3308" s="4" t="str">
        <f>"20228026913"</f>
        <v>20228026913</v>
      </c>
      <c r="B3308" s="4" t="str">
        <f t="shared" si="68"/>
        <v>20220213</v>
      </c>
      <c r="C3308" s="5">
        <v>0</v>
      </c>
      <c r="D3308" s="5">
        <v>0</v>
      </c>
      <c r="E3308" s="5">
        <v>0</v>
      </c>
    </row>
    <row r="3309" spans="1:5">
      <c r="A3309" s="4" t="str">
        <f>"20228026914"</f>
        <v>20228026914</v>
      </c>
      <c r="B3309" s="4" t="str">
        <f t="shared" si="68"/>
        <v>20220213</v>
      </c>
      <c r="C3309" s="5">
        <v>74.42</v>
      </c>
      <c r="D3309" s="5">
        <v>98.8</v>
      </c>
      <c r="E3309" s="5">
        <v>89.05</v>
      </c>
    </row>
    <row r="3310" spans="1:5">
      <c r="A3310" s="4" t="str">
        <f>"20228026915"</f>
        <v>20228026915</v>
      </c>
      <c r="B3310" s="4" t="str">
        <f t="shared" si="68"/>
        <v>20220213</v>
      </c>
      <c r="C3310" s="5">
        <v>76.56</v>
      </c>
      <c r="D3310" s="5">
        <v>104</v>
      </c>
      <c r="E3310" s="5">
        <v>93.02</v>
      </c>
    </row>
    <row r="3311" spans="1:5">
      <c r="A3311" s="4" t="str">
        <f>"20228026916"</f>
        <v>20228026916</v>
      </c>
      <c r="B3311" s="4" t="str">
        <f t="shared" ref="B3311:B3374" si="69">"20220213"</f>
        <v>20220213</v>
      </c>
      <c r="C3311" s="5">
        <v>89.5</v>
      </c>
      <c r="D3311" s="5">
        <v>99</v>
      </c>
      <c r="E3311" s="5">
        <v>95.2</v>
      </c>
    </row>
    <row r="3312" spans="1:5">
      <c r="A3312" s="4" t="str">
        <f>"20228026917"</f>
        <v>20228026917</v>
      </c>
      <c r="B3312" s="4" t="str">
        <f t="shared" si="69"/>
        <v>20220213</v>
      </c>
      <c r="C3312" s="5">
        <v>0</v>
      </c>
      <c r="D3312" s="5">
        <v>0</v>
      </c>
      <c r="E3312" s="5">
        <v>0</v>
      </c>
    </row>
    <row r="3313" spans="1:5">
      <c r="A3313" s="4" t="str">
        <f>"20228026918"</f>
        <v>20228026918</v>
      </c>
      <c r="B3313" s="4" t="str">
        <f t="shared" si="69"/>
        <v>20220213</v>
      </c>
      <c r="C3313" s="5">
        <v>61.19</v>
      </c>
      <c r="D3313" s="5">
        <v>93.9</v>
      </c>
      <c r="E3313" s="5">
        <v>80.82</v>
      </c>
    </row>
    <row r="3314" spans="1:5">
      <c r="A3314" s="4" t="str">
        <f>"20228026919"</f>
        <v>20228026919</v>
      </c>
      <c r="B3314" s="4" t="str">
        <f t="shared" si="69"/>
        <v>20220213</v>
      </c>
      <c r="C3314" s="5">
        <v>0</v>
      </c>
      <c r="D3314" s="5">
        <v>0</v>
      </c>
      <c r="E3314" s="5">
        <v>0</v>
      </c>
    </row>
    <row r="3315" spans="1:5">
      <c r="A3315" s="4" t="str">
        <f>"20228026920"</f>
        <v>20228026920</v>
      </c>
      <c r="B3315" s="4" t="str">
        <f t="shared" si="69"/>
        <v>20220213</v>
      </c>
      <c r="C3315" s="5">
        <v>0</v>
      </c>
      <c r="D3315" s="5">
        <v>0</v>
      </c>
      <c r="E3315" s="5">
        <v>0</v>
      </c>
    </row>
    <row r="3316" spans="1:5">
      <c r="A3316" s="4" t="str">
        <f>"20228026921"</f>
        <v>20228026921</v>
      </c>
      <c r="B3316" s="4" t="str">
        <f t="shared" si="69"/>
        <v>20220213</v>
      </c>
      <c r="C3316" s="5">
        <v>0</v>
      </c>
      <c r="D3316" s="5">
        <v>0</v>
      </c>
      <c r="E3316" s="5">
        <v>0</v>
      </c>
    </row>
    <row r="3317" spans="1:5">
      <c r="A3317" s="4" t="str">
        <f>"20228026922"</f>
        <v>20228026922</v>
      </c>
      <c r="B3317" s="4" t="str">
        <f t="shared" si="69"/>
        <v>20220213</v>
      </c>
      <c r="C3317" s="5">
        <v>89.03</v>
      </c>
      <c r="D3317" s="5">
        <v>108.1</v>
      </c>
      <c r="E3317" s="5">
        <v>100.47</v>
      </c>
    </row>
    <row r="3318" spans="1:5">
      <c r="A3318" s="4" t="str">
        <f>"20228026923"</f>
        <v>20228026923</v>
      </c>
      <c r="B3318" s="4" t="str">
        <f t="shared" si="69"/>
        <v>20220213</v>
      </c>
      <c r="C3318" s="5">
        <v>0</v>
      </c>
      <c r="D3318" s="5">
        <v>0</v>
      </c>
      <c r="E3318" s="5">
        <v>0</v>
      </c>
    </row>
    <row r="3319" spans="1:5">
      <c r="A3319" s="4" t="str">
        <f>"20228026924"</f>
        <v>20228026924</v>
      </c>
      <c r="B3319" s="4" t="str">
        <f t="shared" si="69"/>
        <v>20220213</v>
      </c>
      <c r="C3319" s="5">
        <v>82.38</v>
      </c>
      <c r="D3319" s="5">
        <v>99.2</v>
      </c>
      <c r="E3319" s="5">
        <v>92.47</v>
      </c>
    </row>
    <row r="3320" spans="1:5">
      <c r="A3320" s="4" t="str">
        <f>"20228026925"</f>
        <v>20228026925</v>
      </c>
      <c r="B3320" s="4" t="str">
        <f t="shared" si="69"/>
        <v>20220213</v>
      </c>
      <c r="C3320" s="5">
        <v>0</v>
      </c>
      <c r="D3320" s="5">
        <v>0</v>
      </c>
      <c r="E3320" s="5">
        <v>0</v>
      </c>
    </row>
    <row r="3321" spans="1:5">
      <c r="A3321" s="4" t="str">
        <f>"20228026926"</f>
        <v>20228026926</v>
      </c>
      <c r="B3321" s="4" t="str">
        <f t="shared" si="69"/>
        <v>20220213</v>
      </c>
      <c r="C3321" s="5">
        <v>0</v>
      </c>
      <c r="D3321" s="5">
        <v>0</v>
      </c>
      <c r="E3321" s="5">
        <v>0</v>
      </c>
    </row>
    <row r="3322" spans="1:5">
      <c r="A3322" s="4" t="str">
        <f>"20228026927"</f>
        <v>20228026927</v>
      </c>
      <c r="B3322" s="4" t="str">
        <f t="shared" si="69"/>
        <v>20220213</v>
      </c>
      <c r="C3322" s="5">
        <v>73.18</v>
      </c>
      <c r="D3322" s="5">
        <v>105.5</v>
      </c>
      <c r="E3322" s="5">
        <v>92.57</v>
      </c>
    </row>
    <row r="3323" spans="1:5">
      <c r="A3323" s="4" t="str">
        <f>"20228026928"</f>
        <v>20228026928</v>
      </c>
      <c r="B3323" s="4" t="str">
        <f t="shared" si="69"/>
        <v>20220213</v>
      </c>
      <c r="C3323" s="5">
        <v>0</v>
      </c>
      <c r="D3323" s="5">
        <v>0</v>
      </c>
      <c r="E3323" s="5">
        <v>0</v>
      </c>
    </row>
    <row r="3324" spans="1:5">
      <c r="A3324" s="4" t="str">
        <f>"20228026929"</f>
        <v>20228026929</v>
      </c>
      <c r="B3324" s="4" t="str">
        <f t="shared" si="69"/>
        <v>20220213</v>
      </c>
      <c r="C3324" s="5">
        <v>68.51</v>
      </c>
      <c r="D3324" s="5">
        <v>91.7</v>
      </c>
      <c r="E3324" s="5">
        <v>82.42</v>
      </c>
    </row>
    <row r="3325" spans="1:5">
      <c r="A3325" s="4" t="str">
        <f>"20228026930"</f>
        <v>20228026930</v>
      </c>
      <c r="B3325" s="4" t="str">
        <f t="shared" si="69"/>
        <v>20220213</v>
      </c>
      <c r="C3325" s="5">
        <v>81.28</v>
      </c>
      <c r="D3325" s="5">
        <v>101.6</v>
      </c>
      <c r="E3325" s="5">
        <v>93.47</v>
      </c>
    </row>
    <row r="3326" spans="1:5">
      <c r="A3326" s="4" t="str">
        <f>"20228027001"</f>
        <v>20228027001</v>
      </c>
      <c r="B3326" s="4" t="str">
        <f t="shared" si="69"/>
        <v>20220213</v>
      </c>
      <c r="C3326" s="5">
        <v>86.3</v>
      </c>
      <c r="D3326" s="5">
        <v>103.3</v>
      </c>
      <c r="E3326" s="5">
        <v>96.5</v>
      </c>
    </row>
    <row r="3327" spans="1:5">
      <c r="A3327" s="4" t="str">
        <f>"20228027002"</f>
        <v>20228027002</v>
      </c>
      <c r="B3327" s="4" t="str">
        <f t="shared" si="69"/>
        <v>20220213</v>
      </c>
      <c r="C3327" s="5">
        <v>0</v>
      </c>
      <c r="D3327" s="5">
        <v>0</v>
      </c>
      <c r="E3327" s="5">
        <v>0</v>
      </c>
    </row>
    <row r="3328" spans="1:5">
      <c r="A3328" s="4" t="str">
        <f>"20228027003"</f>
        <v>20228027003</v>
      </c>
      <c r="B3328" s="4" t="str">
        <f t="shared" si="69"/>
        <v>20220213</v>
      </c>
      <c r="C3328" s="5">
        <v>0</v>
      </c>
      <c r="D3328" s="5">
        <v>0</v>
      </c>
      <c r="E3328" s="5">
        <v>0</v>
      </c>
    </row>
    <row r="3329" spans="1:5">
      <c r="A3329" s="4" t="str">
        <f>"20228027004"</f>
        <v>20228027004</v>
      </c>
      <c r="B3329" s="4" t="str">
        <f t="shared" si="69"/>
        <v>20220213</v>
      </c>
      <c r="C3329" s="5">
        <v>73.67</v>
      </c>
      <c r="D3329" s="5">
        <v>100.5</v>
      </c>
      <c r="E3329" s="5">
        <v>89.77</v>
      </c>
    </row>
    <row r="3330" spans="1:5">
      <c r="A3330" s="4" t="str">
        <f>"20228027005"</f>
        <v>20228027005</v>
      </c>
      <c r="B3330" s="4" t="str">
        <f t="shared" si="69"/>
        <v>20220213</v>
      </c>
      <c r="C3330" s="5">
        <v>0</v>
      </c>
      <c r="D3330" s="5">
        <v>0</v>
      </c>
      <c r="E3330" s="5">
        <v>0</v>
      </c>
    </row>
    <row r="3331" spans="1:5">
      <c r="A3331" s="4" t="str">
        <f>"20228027006"</f>
        <v>20228027006</v>
      </c>
      <c r="B3331" s="4" t="str">
        <f t="shared" si="69"/>
        <v>20220213</v>
      </c>
      <c r="C3331" s="5">
        <v>0</v>
      </c>
      <c r="D3331" s="5">
        <v>0</v>
      </c>
      <c r="E3331" s="5">
        <v>0</v>
      </c>
    </row>
    <row r="3332" spans="1:5">
      <c r="A3332" s="4" t="str">
        <f>"20228027007"</f>
        <v>20228027007</v>
      </c>
      <c r="B3332" s="4" t="str">
        <f t="shared" si="69"/>
        <v>20220213</v>
      </c>
      <c r="C3332" s="5">
        <v>88.78</v>
      </c>
      <c r="D3332" s="5">
        <v>99.7</v>
      </c>
      <c r="E3332" s="5">
        <v>95.33</v>
      </c>
    </row>
    <row r="3333" spans="1:5">
      <c r="A3333" s="4" t="str">
        <f>"20228027008"</f>
        <v>20228027008</v>
      </c>
      <c r="B3333" s="4" t="str">
        <f t="shared" si="69"/>
        <v>20220213</v>
      </c>
      <c r="C3333" s="5">
        <v>0</v>
      </c>
      <c r="D3333" s="5">
        <v>0</v>
      </c>
      <c r="E3333" s="5">
        <v>0</v>
      </c>
    </row>
    <row r="3334" spans="1:5">
      <c r="A3334" s="4" t="str">
        <f>"20228027009"</f>
        <v>20228027009</v>
      </c>
      <c r="B3334" s="4" t="str">
        <f t="shared" si="69"/>
        <v>20220213</v>
      </c>
      <c r="C3334" s="5">
        <v>74.8</v>
      </c>
      <c r="D3334" s="5">
        <v>100</v>
      </c>
      <c r="E3334" s="5">
        <v>89.92</v>
      </c>
    </row>
    <row r="3335" spans="1:5">
      <c r="A3335" s="4" t="str">
        <f>"20228027010"</f>
        <v>20228027010</v>
      </c>
      <c r="B3335" s="4" t="str">
        <f t="shared" si="69"/>
        <v>20220213</v>
      </c>
      <c r="C3335" s="5">
        <v>80.89</v>
      </c>
      <c r="D3335" s="5">
        <v>101.3</v>
      </c>
      <c r="E3335" s="5">
        <v>93.14</v>
      </c>
    </row>
    <row r="3336" spans="1:5">
      <c r="A3336" s="4" t="str">
        <f>"20228027011"</f>
        <v>20228027011</v>
      </c>
      <c r="B3336" s="4" t="str">
        <f t="shared" si="69"/>
        <v>20220213</v>
      </c>
      <c r="C3336" s="5">
        <v>0</v>
      </c>
      <c r="D3336" s="5">
        <v>0</v>
      </c>
      <c r="E3336" s="5">
        <v>0</v>
      </c>
    </row>
    <row r="3337" spans="1:5">
      <c r="A3337" s="4" t="str">
        <f>"20228027012"</f>
        <v>20228027012</v>
      </c>
      <c r="B3337" s="4" t="str">
        <f t="shared" si="69"/>
        <v>20220213</v>
      </c>
      <c r="C3337" s="5">
        <v>65.98</v>
      </c>
      <c r="D3337" s="5">
        <v>87.3</v>
      </c>
      <c r="E3337" s="5">
        <v>78.77</v>
      </c>
    </row>
    <row r="3338" spans="1:5">
      <c r="A3338" s="4" t="str">
        <f>"20228027013"</f>
        <v>20228027013</v>
      </c>
      <c r="B3338" s="4" t="str">
        <f t="shared" si="69"/>
        <v>20220213</v>
      </c>
      <c r="C3338" s="5">
        <v>87.43</v>
      </c>
      <c r="D3338" s="5">
        <v>101.8</v>
      </c>
      <c r="E3338" s="5">
        <v>96.05</v>
      </c>
    </row>
    <row r="3339" spans="1:5">
      <c r="A3339" s="4" t="str">
        <f>"20228027014"</f>
        <v>20228027014</v>
      </c>
      <c r="B3339" s="4" t="str">
        <f t="shared" si="69"/>
        <v>20220213</v>
      </c>
      <c r="C3339" s="5">
        <v>69.62</v>
      </c>
      <c r="D3339" s="5">
        <v>66.6</v>
      </c>
      <c r="E3339" s="5">
        <v>67.81</v>
      </c>
    </row>
    <row r="3340" spans="1:5">
      <c r="A3340" s="4" t="str">
        <f>"20228027015"</f>
        <v>20228027015</v>
      </c>
      <c r="B3340" s="4" t="str">
        <f t="shared" si="69"/>
        <v>20220213</v>
      </c>
      <c r="C3340" s="5">
        <v>0</v>
      </c>
      <c r="D3340" s="5">
        <v>0</v>
      </c>
      <c r="E3340" s="5">
        <v>0</v>
      </c>
    </row>
    <row r="3341" spans="1:5">
      <c r="A3341" s="4" t="str">
        <f>"20228027016"</f>
        <v>20228027016</v>
      </c>
      <c r="B3341" s="4" t="str">
        <f t="shared" si="69"/>
        <v>20220213</v>
      </c>
      <c r="C3341" s="5">
        <v>88.5</v>
      </c>
      <c r="D3341" s="5">
        <v>103.5</v>
      </c>
      <c r="E3341" s="5">
        <v>97.5</v>
      </c>
    </row>
    <row r="3342" spans="1:5">
      <c r="A3342" s="4" t="str">
        <f>"20228027017"</f>
        <v>20228027017</v>
      </c>
      <c r="B3342" s="4" t="str">
        <f t="shared" si="69"/>
        <v>20220213</v>
      </c>
      <c r="C3342" s="5">
        <v>87.12</v>
      </c>
      <c r="D3342" s="5">
        <v>96.9</v>
      </c>
      <c r="E3342" s="5">
        <v>92.99</v>
      </c>
    </row>
    <row r="3343" spans="1:5">
      <c r="A3343" s="4" t="str">
        <f>"20228027018"</f>
        <v>20228027018</v>
      </c>
      <c r="B3343" s="4" t="str">
        <f t="shared" si="69"/>
        <v>20220213</v>
      </c>
      <c r="C3343" s="5">
        <v>82.8</v>
      </c>
      <c r="D3343" s="5">
        <v>107.3</v>
      </c>
      <c r="E3343" s="5">
        <v>97.5</v>
      </c>
    </row>
    <row r="3344" spans="1:5">
      <c r="A3344" s="4" t="str">
        <f>"20228027019"</f>
        <v>20228027019</v>
      </c>
      <c r="B3344" s="4" t="str">
        <f t="shared" si="69"/>
        <v>20220213</v>
      </c>
      <c r="C3344" s="5">
        <v>87.68</v>
      </c>
      <c r="D3344" s="5">
        <v>102.3</v>
      </c>
      <c r="E3344" s="5">
        <v>96.45</v>
      </c>
    </row>
    <row r="3345" spans="1:5">
      <c r="A3345" s="4" t="str">
        <f>"20228027020"</f>
        <v>20228027020</v>
      </c>
      <c r="B3345" s="4" t="str">
        <f t="shared" si="69"/>
        <v>20220213</v>
      </c>
      <c r="C3345" s="5">
        <v>88.75</v>
      </c>
      <c r="D3345" s="5">
        <v>101.4</v>
      </c>
      <c r="E3345" s="5">
        <v>96.34</v>
      </c>
    </row>
    <row r="3346" spans="1:5">
      <c r="A3346" s="4" t="str">
        <f>"20228027021"</f>
        <v>20228027021</v>
      </c>
      <c r="B3346" s="4" t="str">
        <f t="shared" si="69"/>
        <v>20220213</v>
      </c>
      <c r="C3346" s="5">
        <v>74.79</v>
      </c>
      <c r="D3346" s="5">
        <v>100.9</v>
      </c>
      <c r="E3346" s="5">
        <v>90.46</v>
      </c>
    </row>
    <row r="3347" spans="1:5">
      <c r="A3347" s="4" t="str">
        <f>"20228027022"</f>
        <v>20228027022</v>
      </c>
      <c r="B3347" s="4" t="str">
        <f t="shared" si="69"/>
        <v>20220213</v>
      </c>
      <c r="C3347" s="5">
        <v>47.39</v>
      </c>
      <c r="D3347" s="5">
        <v>80.4</v>
      </c>
      <c r="E3347" s="5">
        <v>67.2</v>
      </c>
    </row>
    <row r="3348" spans="1:5">
      <c r="A3348" s="4" t="str">
        <f>"20228027023"</f>
        <v>20228027023</v>
      </c>
      <c r="B3348" s="4" t="str">
        <f t="shared" si="69"/>
        <v>20220213</v>
      </c>
      <c r="C3348" s="5">
        <v>0</v>
      </c>
      <c r="D3348" s="5">
        <v>0</v>
      </c>
      <c r="E3348" s="5">
        <v>0</v>
      </c>
    </row>
    <row r="3349" spans="1:5">
      <c r="A3349" s="4" t="str">
        <f>"20228027024"</f>
        <v>20228027024</v>
      </c>
      <c r="B3349" s="4" t="str">
        <f t="shared" si="69"/>
        <v>20220213</v>
      </c>
      <c r="C3349" s="5">
        <v>0</v>
      </c>
      <c r="D3349" s="5">
        <v>0</v>
      </c>
      <c r="E3349" s="5">
        <v>0</v>
      </c>
    </row>
    <row r="3350" spans="1:5">
      <c r="A3350" s="4" t="str">
        <f>"20228027025"</f>
        <v>20228027025</v>
      </c>
      <c r="B3350" s="4" t="str">
        <f t="shared" si="69"/>
        <v>20220213</v>
      </c>
      <c r="C3350" s="5">
        <v>80.01</v>
      </c>
      <c r="D3350" s="5">
        <v>99</v>
      </c>
      <c r="E3350" s="5">
        <v>91.4</v>
      </c>
    </row>
    <row r="3351" spans="1:5">
      <c r="A3351" s="4" t="str">
        <f>"20228027026"</f>
        <v>20228027026</v>
      </c>
      <c r="B3351" s="4" t="str">
        <f t="shared" si="69"/>
        <v>20220213</v>
      </c>
      <c r="C3351" s="5">
        <v>82.89</v>
      </c>
      <c r="D3351" s="5">
        <v>101.4</v>
      </c>
      <c r="E3351" s="5">
        <v>94</v>
      </c>
    </row>
    <row r="3352" spans="1:5">
      <c r="A3352" s="4" t="str">
        <f>"20228027027"</f>
        <v>20228027027</v>
      </c>
      <c r="B3352" s="4" t="str">
        <f t="shared" si="69"/>
        <v>20220213</v>
      </c>
      <c r="C3352" s="5">
        <v>83.62</v>
      </c>
      <c r="D3352" s="5">
        <v>102.6</v>
      </c>
      <c r="E3352" s="5">
        <v>95.01</v>
      </c>
    </row>
    <row r="3353" spans="1:5">
      <c r="A3353" s="4" t="str">
        <f>"20228027028"</f>
        <v>20228027028</v>
      </c>
      <c r="B3353" s="4" t="str">
        <f t="shared" si="69"/>
        <v>20220213</v>
      </c>
      <c r="C3353" s="5">
        <v>81.68</v>
      </c>
      <c r="D3353" s="5">
        <v>100.3</v>
      </c>
      <c r="E3353" s="5">
        <v>92.85</v>
      </c>
    </row>
    <row r="3354" spans="1:5">
      <c r="A3354" s="4" t="str">
        <f>"20228027029"</f>
        <v>20228027029</v>
      </c>
      <c r="B3354" s="4" t="str">
        <f t="shared" si="69"/>
        <v>20220213</v>
      </c>
      <c r="C3354" s="5">
        <v>0</v>
      </c>
      <c r="D3354" s="5">
        <v>0</v>
      </c>
      <c r="E3354" s="5">
        <v>0</v>
      </c>
    </row>
    <row r="3355" spans="1:5">
      <c r="A3355" s="4" t="str">
        <f>"20228027030"</f>
        <v>20228027030</v>
      </c>
      <c r="B3355" s="4" t="str">
        <f t="shared" si="69"/>
        <v>20220213</v>
      </c>
      <c r="C3355" s="5">
        <v>0</v>
      </c>
      <c r="D3355" s="5">
        <v>0</v>
      </c>
      <c r="E3355" s="5">
        <v>0</v>
      </c>
    </row>
    <row r="3356" spans="1:5">
      <c r="A3356" s="4" t="str">
        <f>"20228027101"</f>
        <v>20228027101</v>
      </c>
      <c r="B3356" s="4" t="str">
        <f t="shared" si="69"/>
        <v>20220213</v>
      </c>
      <c r="C3356" s="5">
        <v>77.98</v>
      </c>
      <c r="D3356" s="5">
        <v>100.3</v>
      </c>
      <c r="E3356" s="5">
        <v>91.37</v>
      </c>
    </row>
    <row r="3357" spans="1:5">
      <c r="A3357" s="4" t="str">
        <f>"20228027102"</f>
        <v>20228027102</v>
      </c>
      <c r="B3357" s="4" t="str">
        <f t="shared" si="69"/>
        <v>20220213</v>
      </c>
      <c r="C3357" s="5">
        <v>70.61</v>
      </c>
      <c r="D3357" s="5">
        <v>90.8</v>
      </c>
      <c r="E3357" s="5">
        <v>82.72</v>
      </c>
    </row>
    <row r="3358" spans="1:5">
      <c r="A3358" s="4" t="str">
        <f>"20228027103"</f>
        <v>20228027103</v>
      </c>
      <c r="B3358" s="4" t="str">
        <f t="shared" si="69"/>
        <v>20220213</v>
      </c>
      <c r="C3358" s="5">
        <v>0</v>
      </c>
      <c r="D3358" s="5">
        <v>0</v>
      </c>
      <c r="E3358" s="5">
        <v>0</v>
      </c>
    </row>
    <row r="3359" spans="1:5">
      <c r="A3359" s="4" t="str">
        <f>"20228027104"</f>
        <v>20228027104</v>
      </c>
      <c r="B3359" s="4" t="str">
        <f t="shared" si="69"/>
        <v>20220213</v>
      </c>
      <c r="C3359" s="5">
        <v>0</v>
      </c>
      <c r="D3359" s="5">
        <v>0</v>
      </c>
      <c r="E3359" s="5">
        <v>0</v>
      </c>
    </row>
    <row r="3360" spans="1:5">
      <c r="A3360" s="4" t="str">
        <f>"20228027105"</f>
        <v>20228027105</v>
      </c>
      <c r="B3360" s="4" t="str">
        <f t="shared" si="69"/>
        <v>20220213</v>
      </c>
      <c r="C3360" s="5">
        <v>71.39</v>
      </c>
      <c r="D3360" s="5">
        <v>77.4</v>
      </c>
      <c r="E3360" s="5">
        <v>75</v>
      </c>
    </row>
    <row r="3361" spans="1:5">
      <c r="A3361" s="4" t="str">
        <f>"20228027106"</f>
        <v>20228027106</v>
      </c>
      <c r="B3361" s="4" t="str">
        <f t="shared" si="69"/>
        <v>20220213</v>
      </c>
      <c r="C3361" s="5">
        <v>86.02</v>
      </c>
      <c r="D3361" s="5">
        <v>98.3</v>
      </c>
      <c r="E3361" s="5">
        <v>93.39</v>
      </c>
    </row>
    <row r="3362" spans="1:5">
      <c r="A3362" s="4" t="str">
        <f>"20228027107"</f>
        <v>20228027107</v>
      </c>
      <c r="B3362" s="4" t="str">
        <f t="shared" si="69"/>
        <v>20220213</v>
      </c>
      <c r="C3362" s="5">
        <v>65.93</v>
      </c>
      <c r="D3362" s="5">
        <v>97.4</v>
      </c>
      <c r="E3362" s="5">
        <v>84.81</v>
      </c>
    </row>
    <row r="3363" spans="1:5">
      <c r="A3363" s="4" t="str">
        <f>"20228027108"</f>
        <v>20228027108</v>
      </c>
      <c r="B3363" s="4" t="str">
        <f t="shared" si="69"/>
        <v>20220213</v>
      </c>
      <c r="C3363" s="5">
        <v>71.72</v>
      </c>
      <c r="D3363" s="5">
        <v>97.5</v>
      </c>
      <c r="E3363" s="5">
        <v>87.19</v>
      </c>
    </row>
    <row r="3364" spans="1:5">
      <c r="A3364" s="4" t="str">
        <f>"20228027109"</f>
        <v>20228027109</v>
      </c>
      <c r="B3364" s="4" t="str">
        <f t="shared" si="69"/>
        <v>20220213</v>
      </c>
      <c r="C3364" s="5">
        <v>79.36</v>
      </c>
      <c r="D3364" s="5">
        <v>103.6</v>
      </c>
      <c r="E3364" s="5">
        <v>93.9</v>
      </c>
    </row>
    <row r="3365" spans="1:5">
      <c r="A3365" s="4" t="str">
        <f>"20228027110"</f>
        <v>20228027110</v>
      </c>
      <c r="B3365" s="4" t="str">
        <f t="shared" si="69"/>
        <v>20220213</v>
      </c>
      <c r="C3365" s="5">
        <v>72.78</v>
      </c>
      <c r="D3365" s="5">
        <v>84.6</v>
      </c>
      <c r="E3365" s="5">
        <v>79.87</v>
      </c>
    </row>
    <row r="3366" spans="1:5">
      <c r="A3366" s="4" t="str">
        <f>"20228027111"</f>
        <v>20228027111</v>
      </c>
      <c r="B3366" s="4" t="str">
        <f t="shared" si="69"/>
        <v>20220213</v>
      </c>
      <c r="C3366" s="5">
        <v>0</v>
      </c>
      <c r="D3366" s="5">
        <v>0</v>
      </c>
      <c r="E3366" s="5">
        <v>0</v>
      </c>
    </row>
    <row r="3367" spans="1:5">
      <c r="A3367" s="4" t="str">
        <f>"20228027112"</f>
        <v>20228027112</v>
      </c>
      <c r="B3367" s="4" t="str">
        <f t="shared" si="69"/>
        <v>20220213</v>
      </c>
      <c r="C3367" s="5">
        <v>85.92</v>
      </c>
      <c r="D3367" s="5">
        <v>94</v>
      </c>
      <c r="E3367" s="5">
        <v>90.77</v>
      </c>
    </row>
    <row r="3368" spans="1:5">
      <c r="A3368" s="4" t="str">
        <f>"20228027113"</f>
        <v>20228027113</v>
      </c>
      <c r="B3368" s="4" t="str">
        <f t="shared" si="69"/>
        <v>20220213</v>
      </c>
      <c r="C3368" s="5">
        <v>81.3</v>
      </c>
      <c r="D3368" s="5">
        <v>89.2</v>
      </c>
      <c r="E3368" s="5">
        <v>86.04</v>
      </c>
    </row>
    <row r="3369" spans="1:5">
      <c r="A3369" s="4" t="str">
        <f>"20228027114"</f>
        <v>20228027114</v>
      </c>
      <c r="B3369" s="4" t="str">
        <f t="shared" si="69"/>
        <v>20220213</v>
      </c>
      <c r="C3369" s="5">
        <v>82.79</v>
      </c>
      <c r="D3369" s="5">
        <v>103.4</v>
      </c>
      <c r="E3369" s="5">
        <v>95.16</v>
      </c>
    </row>
    <row r="3370" spans="1:5">
      <c r="A3370" s="4" t="str">
        <f>"20228027115"</f>
        <v>20228027115</v>
      </c>
      <c r="B3370" s="4" t="str">
        <f t="shared" si="69"/>
        <v>20220213</v>
      </c>
      <c r="C3370" s="5">
        <v>78.91</v>
      </c>
      <c r="D3370" s="5">
        <v>97.2</v>
      </c>
      <c r="E3370" s="5">
        <v>89.88</v>
      </c>
    </row>
    <row r="3371" spans="1:5">
      <c r="A3371" s="4" t="str">
        <f>"20228027116"</f>
        <v>20228027116</v>
      </c>
      <c r="B3371" s="4" t="str">
        <f t="shared" si="69"/>
        <v>20220213</v>
      </c>
      <c r="C3371" s="5">
        <v>0</v>
      </c>
      <c r="D3371" s="5">
        <v>0</v>
      </c>
      <c r="E3371" s="5">
        <v>0</v>
      </c>
    </row>
    <row r="3372" spans="1:5">
      <c r="A3372" s="4" t="str">
        <f>"20228027117"</f>
        <v>20228027117</v>
      </c>
      <c r="B3372" s="4" t="str">
        <f t="shared" si="69"/>
        <v>20220213</v>
      </c>
      <c r="C3372" s="5">
        <v>81.2</v>
      </c>
      <c r="D3372" s="5">
        <v>99.1</v>
      </c>
      <c r="E3372" s="5">
        <v>91.94</v>
      </c>
    </row>
    <row r="3373" spans="1:5">
      <c r="A3373" s="4" t="str">
        <f>"20228027118"</f>
        <v>20228027118</v>
      </c>
      <c r="B3373" s="4" t="str">
        <f t="shared" si="69"/>
        <v>20220213</v>
      </c>
      <c r="C3373" s="5">
        <v>79.9</v>
      </c>
      <c r="D3373" s="5">
        <v>90.8</v>
      </c>
      <c r="E3373" s="5">
        <v>86.44</v>
      </c>
    </row>
    <row r="3374" spans="1:5">
      <c r="A3374" s="4" t="str">
        <f>"20228027119"</f>
        <v>20228027119</v>
      </c>
      <c r="B3374" s="4" t="str">
        <f t="shared" si="69"/>
        <v>20220213</v>
      </c>
      <c r="C3374" s="5">
        <v>85.61</v>
      </c>
      <c r="D3374" s="5">
        <v>103.9</v>
      </c>
      <c r="E3374" s="5">
        <v>96.58</v>
      </c>
    </row>
    <row r="3375" spans="1:5">
      <c r="A3375" s="4" t="str">
        <f>"20228027120"</f>
        <v>20228027120</v>
      </c>
      <c r="B3375" s="4" t="str">
        <f t="shared" ref="B3375:B3415" si="70">"20220213"</f>
        <v>20220213</v>
      </c>
      <c r="C3375" s="5">
        <v>0</v>
      </c>
      <c r="D3375" s="5">
        <v>0</v>
      </c>
      <c r="E3375" s="5">
        <v>0</v>
      </c>
    </row>
    <row r="3376" spans="1:5">
      <c r="A3376" s="4" t="str">
        <f>"20228027121"</f>
        <v>20228027121</v>
      </c>
      <c r="B3376" s="4" t="str">
        <f t="shared" si="70"/>
        <v>20220213</v>
      </c>
      <c r="C3376" s="5">
        <v>87.25</v>
      </c>
      <c r="D3376" s="5">
        <v>105.2</v>
      </c>
      <c r="E3376" s="5">
        <v>98.02</v>
      </c>
    </row>
    <row r="3377" spans="1:5">
      <c r="A3377" s="4" t="str">
        <f>"20228027122"</f>
        <v>20228027122</v>
      </c>
      <c r="B3377" s="4" t="str">
        <f t="shared" si="70"/>
        <v>20220213</v>
      </c>
      <c r="C3377" s="5">
        <v>0</v>
      </c>
      <c r="D3377" s="5">
        <v>0</v>
      </c>
      <c r="E3377" s="5">
        <v>0</v>
      </c>
    </row>
    <row r="3378" spans="1:5">
      <c r="A3378" s="4" t="str">
        <f>"20228027123"</f>
        <v>20228027123</v>
      </c>
      <c r="B3378" s="4" t="str">
        <f t="shared" si="70"/>
        <v>20220213</v>
      </c>
      <c r="C3378" s="5">
        <v>81.85</v>
      </c>
      <c r="D3378" s="5">
        <v>101.3</v>
      </c>
      <c r="E3378" s="5">
        <v>93.52</v>
      </c>
    </row>
    <row r="3379" spans="1:5">
      <c r="A3379" s="4" t="str">
        <f>"20228027124"</f>
        <v>20228027124</v>
      </c>
      <c r="B3379" s="4" t="str">
        <f t="shared" si="70"/>
        <v>20220213</v>
      </c>
      <c r="C3379" s="5">
        <v>0</v>
      </c>
      <c r="D3379" s="5">
        <v>0</v>
      </c>
      <c r="E3379" s="5">
        <v>0</v>
      </c>
    </row>
    <row r="3380" spans="1:5">
      <c r="A3380" s="4" t="str">
        <f>"20228027125"</f>
        <v>20228027125</v>
      </c>
      <c r="B3380" s="4" t="str">
        <f t="shared" si="70"/>
        <v>20220213</v>
      </c>
      <c r="C3380" s="5">
        <v>87.04</v>
      </c>
      <c r="D3380" s="5">
        <v>101.6</v>
      </c>
      <c r="E3380" s="5">
        <v>95.78</v>
      </c>
    </row>
    <row r="3381" spans="1:5">
      <c r="A3381" s="4" t="str">
        <f>"20228027126"</f>
        <v>20228027126</v>
      </c>
      <c r="B3381" s="4" t="str">
        <f t="shared" si="70"/>
        <v>20220213</v>
      </c>
      <c r="C3381" s="5">
        <v>77.22</v>
      </c>
      <c r="D3381" s="5">
        <v>96.2</v>
      </c>
      <c r="E3381" s="5">
        <v>88.61</v>
      </c>
    </row>
    <row r="3382" spans="1:5">
      <c r="A3382" s="4" t="str">
        <f>"20228027127"</f>
        <v>20228027127</v>
      </c>
      <c r="B3382" s="4" t="str">
        <f t="shared" si="70"/>
        <v>20220213</v>
      </c>
      <c r="C3382" s="5">
        <v>68.74</v>
      </c>
      <c r="D3382" s="5">
        <v>103.9</v>
      </c>
      <c r="E3382" s="5">
        <v>89.84</v>
      </c>
    </row>
    <row r="3383" spans="1:5">
      <c r="A3383" s="4" t="str">
        <f>"20228027128"</f>
        <v>20228027128</v>
      </c>
      <c r="B3383" s="4" t="str">
        <f t="shared" si="70"/>
        <v>20220213</v>
      </c>
      <c r="C3383" s="5">
        <v>87.98</v>
      </c>
      <c r="D3383" s="5">
        <v>107.5</v>
      </c>
      <c r="E3383" s="5">
        <v>99.69</v>
      </c>
    </row>
    <row r="3384" spans="1:5">
      <c r="A3384" s="4" t="str">
        <f>"20228027129"</f>
        <v>20228027129</v>
      </c>
      <c r="B3384" s="4" t="str">
        <f t="shared" si="70"/>
        <v>20220213</v>
      </c>
      <c r="C3384" s="5">
        <v>83.16</v>
      </c>
      <c r="D3384" s="5">
        <v>104.4</v>
      </c>
      <c r="E3384" s="5">
        <v>95.9</v>
      </c>
    </row>
    <row r="3385" spans="1:5">
      <c r="A3385" s="4" t="str">
        <f>"20228027130"</f>
        <v>20228027130</v>
      </c>
      <c r="B3385" s="4" t="str">
        <f t="shared" si="70"/>
        <v>20220213</v>
      </c>
      <c r="C3385" s="5">
        <v>79.04</v>
      </c>
      <c r="D3385" s="5">
        <v>101.4</v>
      </c>
      <c r="E3385" s="5">
        <v>92.46</v>
      </c>
    </row>
    <row r="3386" spans="1:5">
      <c r="A3386" s="4" t="str">
        <f>"20228027201"</f>
        <v>20228027201</v>
      </c>
      <c r="B3386" s="4" t="str">
        <f t="shared" si="70"/>
        <v>20220213</v>
      </c>
      <c r="C3386" s="5">
        <v>82.64</v>
      </c>
      <c r="D3386" s="5">
        <v>97.3</v>
      </c>
      <c r="E3386" s="5">
        <v>91.44</v>
      </c>
    </row>
    <row r="3387" spans="1:5">
      <c r="A3387" s="4" t="str">
        <f>"20228027202"</f>
        <v>20228027202</v>
      </c>
      <c r="B3387" s="4" t="str">
        <f t="shared" si="70"/>
        <v>20220213</v>
      </c>
      <c r="C3387" s="5">
        <v>93.45</v>
      </c>
      <c r="D3387" s="5">
        <v>101.9</v>
      </c>
      <c r="E3387" s="5">
        <v>98.52</v>
      </c>
    </row>
    <row r="3388" spans="1:5">
      <c r="A3388" s="4" t="str">
        <f>"20228027203"</f>
        <v>20228027203</v>
      </c>
      <c r="B3388" s="4" t="str">
        <f t="shared" si="70"/>
        <v>20220213</v>
      </c>
      <c r="C3388" s="5">
        <v>81.32</v>
      </c>
      <c r="D3388" s="5">
        <v>102.1</v>
      </c>
      <c r="E3388" s="5">
        <v>93.79</v>
      </c>
    </row>
    <row r="3389" spans="1:5">
      <c r="A3389" s="4" t="str">
        <f>"20228027204"</f>
        <v>20228027204</v>
      </c>
      <c r="B3389" s="4" t="str">
        <f t="shared" si="70"/>
        <v>20220213</v>
      </c>
      <c r="C3389" s="5">
        <v>0</v>
      </c>
      <c r="D3389" s="5">
        <v>0</v>
      </c>
      <c r="E3389" s="5">
        <v>0</v>
      </c>
    </row>
    <row r="3390" spans="1:5">
      <c r="A3390" s="4" t="str">
        <f>"20228027205"</f>
        <v>20228027205</v>
      </c>
      <c r="B3390" s="4" t="str">
        <f t="shared" si="70"/>
        <v>20220213</v>
      </c>
      <c r="C3390" s="5">
        <v>0</v>
      </c>
      <c r="D3390" s="5">
        <v>0</v>
      </c>
      <c r="E3390" s="5">
        <v>0</v>
      </c>
    </row>
    <row r="3391" spans="1:5">
      <c r="A3391" s="4" t="str">
        <f>"20228027206"</f>
        <v>20228027206</v>
      </c>
      <c r="B3391" s="4" t="str">
        <f t="shared" si="70"/>
        <v>20220213</v>
      </c>
      <c r="C3391" s="5">
        <v>0</v>
      </c>
      <c r="D3391" s="5">
        <v>0</v>
      </c>
      <c r="E3391" s="5">
        <v>0</v>
      </c>
    </row>
    <row r="3392" spans="1:5">
      <c r="A3392" s="4" t="str">
        <f>"20228027207"</f>
        <v>20228027207</v>
      </c>
      <c r="B3392" s="4" t="str">
        <f t="shared" si="70"/>
        <v>20220213</v>
      </c>
      <c r="C3392" s="5">
        <v>94.43</v>
      </c>
      <c r="D3392" s="5">
        <v>101.8</v>
      </c>
      <c r="E3392" s="5">
        <v>98.85</v>
      </c>
    </row>
    <row r="3393" spans="1:5">
      <c r="A3393" s="4" t="str">
        <f>"20228027208"</f>
        <v>20228027208</v>
      </c>
      <c r="B3393" s="4" t="str">
        <f t="shared" si="70"/>
        <v>20220213</v>
      </c>
      <c r="C3393" s="5">
        <v>82.91</v>
      </c>
      <c r="D3393" s="5">
        <v>97.6</v>
      </c>
      <c r="E3393" s="5">
        <v>91.72</v>
      </c>
    </row>
    <row r="3394" spans="1:5">
      <c r="A3394" s="4" t="str">
        <f>"20228027209"</f>
        <v>20228027209</v>
      </c>
      <c r="B3394" s="4" t="str">
        <f t="shared" si="70"/>
        <v>20220213</v>
      </c>
      <c r="C3394" s="5">
        <v>79.12</v>
      </c>
      <c r="D3394" s="5">
        <v>101.2</v>
      </c>
      <c r="E3394" s="5">
        <v>92.37</v>
      </c>
    </row>
    <row r="3395" spans="1:5">
      <c r="A3395" s="4" t="str">
        <f>"20228027210"</f>
        <v>20228027210</v>
      </c>
      <c r="B3395" s="4" t="str">
        <f t="shared" si="70"/>
        <v>20220213</v>
      </c>
      <c r="C3395" s="5">
        <v>66.22</v>
      </c>
      <c r="D3395" s="5">
        <v>97.2</v>
      </c>
      <c r="E3395" s="5">
        <v>84.81</v>
      </c>
    </row>
    <row r="3396" spans="1:5">
      <c r="A3396" s="4" t="str">
        <f>"20228027211"</f>
        <v>20228027211</v>
      </c>
      <c r="B3396" s="4" t="str">
        <f t="shared" si="70"/>
        <v>20220213</v>
      </c>
      <c r="C3396" s="5">
        <v>84.92</v>
      </c>
      <c r="D3396" s="5">
        <v>104.5</v>
      </c>
      <c r="E3396" s="5">
        <v>96.67</v>
      </c>
    </row>
    <row r="3397" spans="1:5">
      <c r="A3397" s="4" t="str">
        <f>"20228027212"</f>
        <v>20228027212</v>
      </c>
      <c r="B3397" s="4" t="str">
        <f t="shared" si="70"/>
        <v>20220213</v>
      </c>
      <c r="C3397" s="5">
        <v>90.11</v>
      </c>
      <c r="D3397" s="5">
        <v>100.6</v>
      </c>
      <c r="E3397" s="5">
        <v>96.4</v>
      </c>
    </row>
    <row r="3398" spans="1:5">
      <c r="A3398" s="4" t="str">
        <f>"20228027213"</f>
        <v>20228027213</v>
      </c>
      <c r="B3398" s="4" t="str">
        <f t="shared" si="70"/>
        <v>20220213</v>
      </c>
      <c r="C3398" s="5">
        <v>81.46</v>
      </c>
      <c r="D3398" s="5">
        <v>106.7</v>
      </c>
      <c r="E3398" s="5">
        <v>96.6</v>
      </c>
    </row>
    <row r="3399" spans="1:5">
      <c r="A3399" s="4" t="str">
        <f>"20228027214"</f>
        <v>20228027214</v>
      </c>
      <c r="B3399" s="4" t="str">
        <f t="shared" si="70"/>
        <v>20220213</v>
      </c>
      <c r="C3399" s="5">
        <v>82.86</v>
      </c>
      <c r="D3399" s="5">
        <v>96.8</v>
      </c>
      <c r="E3399" s="5">
        <v>91.22</v>
      </c>
    </row>
    <row r="3400" spans="1:5">
      <c r="A3400" s="4" t="str">
        <f>"20228027215"</f>
        <v>20228027215</v>
      </c>
      <c r="B3400" s="4" t="str">
        <f t="shared" si="70"/>
        <v>20220213</v>
      </c>
      <c r="C3400" s="5">
        <v>69.45</v>
      </c>
      <c r="D3400" s="5">
        <v>84.9</v>
      </c>
      <c r="E3400" s="5">
        <v>78.72</v>
      </c>
    </row>
    <row r="3401" spans="1:5">
      <c r="A3401" s="4" t="str">
        <f>"20228027216"</f>
        <v>20228027216</v>
      </c>
      <c r="B3401" s="4" t="str">
        <f t="shared" si="70"/>
        <v>20220213</v>
      </c>
      <c r="C3401" s="5">
        <v>80.74</v>
      </c>
      <c r="D3401" s="5">
        <v>102.4</v>
      </c>
      <c r="E3401" s="5">
        <v>93.74</v>
      </c>
    </row>
    <row r="3402" spans="1:5">
      <c r="A3402" s="4" t="str">
        <f>"20228027217"</f>
        <v>20228027217</v>
      </c>
      <c r="B3402" s="4" t="str">
        <f t="shared" si="70"/>
        <v>20220213</v>
      </c>
      <c r="C3402" s="5">
        <v>0</v>
      </c>
      <c r="D3402" s="5">
        <v>0</v>
      </c>
      <c r="E3402" s="5">
        <v>0</v>
      </c>
    </row>
    <row r="3403" spans="1:5">
      <c r="A3403" s="4" t="str">
        <f>"20228027218"</f>
        <v>20228027218</v>
      </c>
      <c r="B3403" s="4" t="str">
        <f t="shared" si="70"/>
        <v>20220213</v>
      </c>
      <c r="C3403" s="5">
        <v>75.63</v>
      </c>
      <c r="D3403" s="5">
        <v>91.4</v>
      </c>
      <c r="E3403" s="5">
        <v>85.09</v>
      </c>
    </row>
    <row r="3404" spans="1:5">
      <c r="A3404" s="4" t="str">
        <f>"20228027219"</f>
        <v>20228027219</v>
      </c>
      <c r="B3404" s="4" t="str">
        <f t="shared" si="70"/>
        <v>20220213</v>
      </c>
      <c r="C3404" s="5">
        <v>64.5</v>
      </c>
      <c r="D3404" s="5">
        <v>95.5</v>
      </c>
      <c r="E3404" s="5">
        <v>83.1</v>
      </c>
    </row>
    <row r="3405" spans="1:5">
      <c r="A3405" s="4" t="str">
        <f>"20228027220"</f>
        <v>20228027220</v>
      </c>
      <c r="B3405" s="4" t="str">
        <f t="shared" si="70"/>
        <v>20220213</v>
      </c>
      <c r="C3405" s="5">
        <v>76.37</v>
      </c>
      <c r="D3405" s="5">
        <v>102.2</v>
      </c>
      <c r="E3405" s="5">
        <v>91.87</v>
      </c>
    </row>
    <row r="3406" spans="1:5">
      <c r="A3406" s="4" t="str">
        <f>"20228027221"</f>
        <v>20228027221</v>
      </c>
      <c r="B3406" s="4" t="str">
        <f t="shared" si="70"/>
        <v>20220213</v>
      </c>
      <c r="C3406" s="5">
        <v>0</v>
      </c>
      <c r="D3406" s="5">
        <v>0</v>
      </c>
      <c r="E3406" s="5">
        <v>0</v>
      </c>
    </row>
    <row r="3407" spans="1:5">
      <c r="A3407" s="4" t="str">
        <f>"20228027222"</f>
        <v>20228027222</v>
      </c>
      <c r="B3407" s="4" t="str">
        <f t="shared" si="70"/>
        <v>20220213</v>
      </c>
      <c r="C3407" s="5">
        <v>72.9</v>
      </c>
      <c r="D3407" s="5">
        <v>95.8</v>
      </c>
      <c r="E3407" s="5">
        <v>86.64</v>
      </c>
    </row>
    <row r="3408" spans="1:5">
      <c r="A3408" s="4" t="str">
        <f>"20228027223"</f>
        <v>20228027223</v>
      </c>
      <c r="B3408" s="4" t="str">
        <f t="shared" si="70"/>
        <v>20220213</v>
      </c>
      <c r="C3408" s="5">
        <v>79.94</v>
      </c>
      <c r="D3408" s="5">
        <v>96.6</v>
      </c>
      <c r="E3408" s="5">
        <v>89.94</v>
      </c>
    </row>
    <row r="3409" spans="1:5">
      <c r="A3409" s="4" t="str">
        <f>"20228027224"</f>
        <v>20228027224</v>
      </c>
      <c r="B3409" s="4" t="str">
        <f t="shared" si="70"/>
        <v>20220213</v>
      </c>
      <c r="C3409" s="5">
        <v>91.19</v>
      </c>
      <c r="D3409" s="5">
        <v>100.8</v>
      </c>
      <c r="E3409" s="5">
        <v>96.96</v>
      </c>
    </row>
    <row r="3410" spans="1:5">
      <c r="A3410" s="4" t="str">
        <f>"20228027225"</f>
        <v>20228027225</v>
      </c>
      <c r="B3410" s="4" t="str">
        <f t="shared" si="70"/>
        <v>20220213</v>
      </c>
      <c r="C3410" s="5">
        <v>93.94</v>
      </c>
      <c r="D3410" s="5">
        <v>106.2</v>
      </c>
      <c r="E3410" s="5">
        <v>101.3</v>
      </c>
    </row>
    <row r="3411" spans="1:5">
      <c r="A3411" s="4" t="str">
        <f>"20228027226"</f>
        <v>20228027226</v>
      </c>
      <c r="B3411" s="4" t="str">
        <f t="shared" si="70"/>
        <v>20220213</v>
      </c>
      <c r="C3411" s="5">
        <v>76.81</v>
      </c>
      <c r="D3411" s="5">
        <v>95.1</v>
      </c>
      <c r="E3411" s="5">
        <v>87.78</v>
      </c>
    </row>
    <row r="3412" spans="1:5">
      <c r="A3412" s="4" t="str">
        <f>"20228027227"</f>
        <v>20228027227</v>
      </c>
      <c r="B3412" s="4" t="str">
        <f t="shared" si="70"/>
        <v>20220213</v>
      </c>
      <c r="C3412" s="5">
        <v>0</v>
      </c>
      <c r="D3412" s="5">
        <v>0</v>
      </c>
      <c r="E3412" s="5">
        <v>0</v>
      </c>
    </row>
    <row r="3413" spans="1:5">
      <c r="A3413" s="4" t="str">
        <f>"20228027228"</f>
        <v>20228027228</v>
      </c>
      <c r="B3413" s="4" t="str">
        <f t="shared" si="70"/>
        <v>20220213</v>
      </c>
      <c r="C3413" s="5">
        <v>0</v>
      </c>
      <c r="D3413" s="5">
        <v>0</v>
      </c>
      <c r="E3413" s="5">
        <v>0</v>
      </c>
    </row>
    <row r="3414" spans="1:5">
      <c r="A3414" s="4" t="str">
        <f>"20228027229"</f>
        <v>20228027229</v>
      </c>
      <c r="B3414" s="4" t="str">
        <f t="shared" si="70"/>
        <v>20220213</v>
      </c>
      <c r="C3414" s="5">
        <v>75.04</v>
      </c>
      <c r="D3414" s="5">
        <v>98.7</v>
      </c>
      <c r="E3414" s="5">
        <v>89.24</v>
      </c>
    </row>
    <row r="3415" spans="1:5">
      <c r="A3415" s="4" t="str">
        <f>"20228027230"</f>
        <v>20228027230</v>
      </c>
      <c r="B3415" s="4" t="str">
        <f t="shared" si="70"/>
        <v>20220213</v>
      </c>
      <c r="C3415" s="5">
        <v>0</v>
      </c>
      <c r="D3415" s="5">
        <v>0</v>
      </c>
      <c r="E3415" s="5">
        <v>0</v>
      </c>
    </row>
    <row r="3416" spans="1:5">
      <c r="A3416" s="4" t="str">
        <f>"20228027301"</f>
        <v>20228027301</v>
      </c>
      <c r="B3416" s="4" t="str">
        <f t="shared" ref="B3416:B3434" si="71">"20220110"</f>
        <v>20220110</v>
      </c>
      <c r="C3416" s="5">
        <v>74.38</v>
      </c>
      <c r="D3416" s="5">
        <v>91.1</v>
      </c>
      <c r="E3416" s="5">
        <v>84.41</v>
      </c>
    </row>
    <row r="3417" spans="1:5">
      <c r="A3417" s="4" t="str">
        <f>"20228027302"</f>
        <v>20228027302</v>
      </c>
      <c r="B3417" s="4" t="str">
        <f t="shared" si="71"/>
        <v>20220110</v>
      </c>
      <c r="C3417" s="5">
        <v>0</v>
      </c>
      <c r="D3417" s="5">
        <v>0</v>
      </c>
      <c r="E3417" s="5">
        <v>0</v>
      </c>
    </row>
    <row r="3418" spans="1:5">
      <c r="A3418" s="4" t="str">
        <f>"20228027303"</f>
        <v>20228027303</v>
      </c>
      <c r="B3418" s="4" t="str">
        <f t="shared" si="71"/>
        <v>20220110</v>
      </c>
      <c r="C3418" s="5">
        <v>0</v>
      </c>
      <c r="D3418" s="5">
        <v>0</v>
      </c>
      <c r="E3418" s="5">
        <v>0</v>
      </c>
    </row>
    <row r="3419" spans="1:5">
      <c r="A3419" s="4" t="str">
        <f>"20228027304"</f>
        <v>20228027304</v>
      </c>
      <c r="B3419" s="4" t="str">
        <f t="shared" si="71"/>
        <v>20220110</v>
      </c>
      <c r="C3419" s="5">
        <v>0</v>
      </c>
      <c r="D3419" s="5">
        <v>0</v>
      </c>
      <c r="E3419" s="5">
        <v>0</v>
      </c>
    </row>
    <row r="3420" spans="1:5">
      <c r="A3420" s="4" t="str">
        <f>"20228027305"</f>
        <v>20228027305</v>
      </c>
      <c r="B3420" s="4" t="str">
        <f t="shared" si="71"/>
        <v>20220110</v>
      </c>
      <c r="C3420" s="5">
        <v>0</v>
      </c>
      <c r="D3420" s="5">
        <v>0</v>
      </c>
      <c r="E3420" s="5">
        <v>0</v>
      </c>
    </row>
    <row r="3421" spans="1:5">
      <c r="A3421" s="4" t="str">
        <f>"20228027306"</f>
        <v>20228027306</v>
      </c>
      <c r="B3421" s="4" t="str">
        <f t="shared" si="71"/>
        <v>20220110</v>
      </c>
      <c r="C3421" s="5">
        <v>0</v>
      </c>
      <c r="D3421" s="5">
        <v>0</v>
      </c>
      <c r="E3421" s="5">
        <v>0</v>
      </c>
    </row>
    <row r="3422" spans="1:5">
      <c r="A3422" s="4" t="str">
        <f>"20228027307"</f>
        <v>20228027307</v>
      </c>
      <c r="B3422" s="4" t="str">
        <f t="shared" si="71"/>
        <v>20220110</v>
      </c>
      <c r="C3422" s="5">
        <v>67.93</v>
      </c>
      <c r="D3422" s="5">
        <v>82.3</v>
      </c>
      <c r="E3422" s="5">
        <v>76.55</v>
      </c>
    </row>
    <row r="3423" spans="1:5">
      <c r="A3423" s="4" t="str">
        <f>"20228027308"</f>
        <v>20228027308</v>
      </c>
      <c r="B3423" s="4" t="str">
        <f t="shared" si="71"/>
        <v>20220110</v>
      </c>
      <c r="C3423" s="5">
        <v>0</v>
      </c>
      <c r="D3423" s="5">
        <v>0</v>
      </c>
      <c r="E3423" s="5">
        <v>0</v>
      </c>
    </row>
    <row r="3424" spans="1:5">
      <c r="A3424" s="4" t="str">
        <f>"20228027309"</f>
        <v>20228027309</v>
      </c>
      <c r="B3424" s="4" t="str">
        <f t="shared" si="71"/>
        <v>20220110</v>
      </c>
      <c r="C3424" s="5">
        <v>0</v>
      </c>
      <c r="D3424" s="5">
        <v>0</v>
      </c>
      <c r="E3424" s="5">
        <v>0</v>
      </c>
    </row>
    <row r="3425" spans="1:5">
      <c r="A3425" s="4" t="str">
        <f>"20228027310"</f>
        <v>20228027310</v>
      </c>
      <c r="B3425" s="4" t="str">
        <f t="shared" si="71"/>
        <v>20220110</v>
      </c>
      <c r="C3425" s="5">
        <v>71.76</v>
      </c>
      <c r="D3425" s="5">
        <v>91.2</v>
      </c>
      <c r="E3425" s="5">
        <v>83.42</v>
      </c>
    </row>
    <row r="3426" spans="1:5">
      <c r="A3426" s="4" t="str">
        <f>"20228027311"</f>
        <v>20228027311</v>
      </c>
      <c r="B3426" s="4" t="str">
        <f t="shared" si="71"/>
        <v>20220110</v>
      </c>
      <c r="C3426" s="5">
        <v>73.44</v>
      </c>
      <c r="D3426" s="5">
        <v>89.7</v>
      </c>
      <c r="E3426" s="5">
        <v>83.2</v>
      </c>
    </row>
    <row r="3427" spans="1:5">
      <c r="A3427" s="4" t="str">
        <f>"20228027312"</f>
        <v>20228027312</v>
      </c>
      <c r="B3427" s="4" t="str">
        <f t="shared" si="71"/>
        <v>20220110</v>
      </c>
      <c r="C3427" s="5">
        <v>0</v>
      </c>
      <c r="D3427" s="5">
        <v>0</v>
      </c>
      <c r="E3427" s="5">
        <v>0</v>
      </c>
    </row>
    <row r="3428" spans="1:5">
      <c r="A3428" s="4" t="str">
        <f>"20228027313"</f>
        <v>20228027313</v>
      </c>
      <c r="B3428" s="4" t="str">
        <f t="shared" si="71"/>
        <v>20220110</v>
      </c>
      <c r="C3428" s="5">
        <v>0</v>
      </c>
      <c r="D3428" s="5">
        <v>0</v>
      </c>
      <c r="E3428" s="5">
        <v>0</v>
      </c>
    </row>
    <row r="3429" spans="1:5">
      <c r="A3429" s="4" t="str">
        <f>"20228027314"</f>
        <v>20228027314</v>
      </c>
      <c r="B3429" s="4" t="str">
        <f t="shared" si="71"/>
        <v>20220110</v>
      </c>
      <c r="C3429" s="5">
        <v>0</v>
      </c>
      <c r="D3429" s="5">
        <v>0</v>
      </c>
      <c r="E3429" s="5">
        <v>0</v>
      </c>
    </row>
    <row r="3430" spans="1:5">
      <c r="A3430" s="4" t="str">
        <f>"20228027315"</f>
        <v>20228027315</v>
      </c>
      <c r="B3430" s="4" t="str">
        <f t="shared" si="71"/>
        <v>20220110</v>
      </c>
      <c r="C3430" s="5">
        <v>80.23</v>
      </c>
      <c r="D3430" s="5">
        <v>89.2</v>
      </c>
      <c r="E3430" s="5">
        <v>85.61</v>
      </c>
    </row>
    <row r="3431" spans="1:5">
      <c r="A3431" s="4" t="str">
        <f>"20228027316"</f>
        <v>20228027316</v>
      </c>
      <c r="B3431" s="4" t="str">
        <f t="shared" si="71"/>
        <v>20220110</v>
      </c>
      <c r="C3431" s="5">
        <v>0</v>
      </c>
      <c r="D3431" s="5">
        <v>0</v>
      </c>
      <c r="E3431" s="5">
        <v>0</v>
      </c>
    </row>
    <row r="3432" spans="1:5">
      <c r="A3432" s="4" t="str">
        <f>"20228027317"</f>
        <v>20228027317</v>
      </c>
      <c r="B3432" s="4" t="str">
        <f t="shared" si="71"/>
        <v>20220110</v>
      </c>
      <c r="C3432" s="5">
        <v>0</v>
      </c>
      <c r="D3432" s="5">
        <v>0</v>
      </c>
      <c r="E3432" s="5">
        <v>0</v>
      </c>
    </row>
    <row r="3433" spans="1:5">
      <c r="A3433" s="4" t="str">
        <f>"20228027318"</f>
        <v>20228027318</v>
      </c>
      <c r="B3433" s="4" t="str">
        <f t="shared" si="71"/>
        <v>20220110</v>
      </c>
      <c r="C3433" s="5">
        <v>75.44</v>
      </c>
      <c r="D3433" s="5">
        <v>89</v>
      </c>
      <c r="E3433" s="5">
        <v>83.58</v>
      </c>
    </row>
    <row r="3434" spans="1:5">
      <c r="A3434" s="4" t="str">
        <f>"20228027319"</f>
        <v>20228027319</v>
      </c>
      <c r="B3434" s="4" t="str">
        <f t="shared" si="71"/>
        <v>20220110</v>
      </c>
      <c r="C3434" s="5">
        <v>0</v>
      </c>
      <c r="D3434" s="5">
        <v>0</v>
      </c>
      <c r="E3434" s="5">
        <v>0</v>
      </c>
    </row>
    <row r="3435" spans="1:5">
      <c r="A3435" s="4" t="str">
        <f>"20228027320"</f>
        <v>20228027320</v>
      </c>
      <c r="B3435" s="4" t="str">
        <f t="shared" ref="B3435:B3498" si="72">"20220212"</f>
        <v>20220212</v>
      </c>
      <c r="C3435" s="5">
        <v>0</v>
      </c>
      <c r="D3435" s="5">
        <v>0</v>
      </c>
      <c r="E3435" s="5">
        <v>0</v>
      </c>
    </row>
    <row r="3436" spans="1:5">
      <c r="A3436" s="4" t="str">
        <f>"20228027321"</f>
        <v>20228027321</v>
      </c>
      <c r="B3436" s="4" t="str">
        <f t="shared" si="72"/>
        <v>20220212</v>
      </c>
      <c r="C3436" s="5">
        <v>80.4</v>
      </c>
      <c r="D3436" s="5">
        <v>91.5</v>
      </c>
      <c r="E3436" s="5">
        <v>87.06</v>
      </c>
    </row>
    <row r="3437" spans="1:5">
      <c r="A3437" s="4" t="str">
        <f>"20228027322"</f>
        <v>20228027322</v>
      </c>
      <c r="B3437" s="4" t="str">
        <f t="shared" si="72"/>
        <v>20220212</v>
      </c>
      <c r="C3437" s="5">
        <v>61.78</v>
      </c>
      <c r="D3437" s="5">
        <v>85.3</v>
      </c>
      <c r="E3437" s="5">
        <v>75.89</v>
      </c>
    </row>
    <row r="3438" spans="1:5">
      <c r="A3438" s="4" t="str">
        <f>"20228027323"</f>
        <v>20228027323</v>
      </c>
      <c r="B3438" s="4" t="str">
        <f t="shared" si="72"/>
        <v>20220212</v>
      </c>
      <c r="C3438" s="5">
        <v>0</v>
      </c>
      <c r="D3438" s="5">
        <v>0</v>
      </c>
      <c r="E3438" s="5">
        <v>0</v>
      </c>
    </row>
    <row r="3439" spans="1:5">
      <c r="A3439" s="4" t="str">
        <f>"20228027324"</f>
        <v>20228027324</v>
      </c>
      <c r="B3439" s="4" t="str">
        <f t="shared" si="72"/>
        <v>20220212</v>
      </c>
      <c r="C3439" s="5">
        <v>82.39</v>
      </c>
      <c r="D3439" s="5">
        <v>92.4</v>
      </c>
      <c r="E3439" s="5">
        <v>88.4</v>
      </c>
    </row>
    <row r="3440" spans="1:5">
      <c r="A3440" s="4" t="str">
        <f>"20228027325"</f>
        <v>20228027325</v>
      </c>
      <c r="B3440" s="4" t="str">
        <f t="shared" si="72"/>
        <v>20220212</v>
      </c>
      <c r="C3440" s="5">
        <v>0</v>
      </c>
      <c r="D3440" s="5">
        <v>0</v>
      </c>
      <c r="E3440" s="5">
        <v>0</v>
      </c>
    </row>
    <row r="3441" spans="1:5">
      <c r="A3441" s="4" t="str">
        <f>"20228027326"</f>
        <v>20228027326</v>
      </c>
      <c r="B3441" s="4" t="str">
        <f t="shared" si="72"/>
        <v>20220212</v>
      </c>
      <c r="C3441" s="5">
        <v>0</v>
      </c>
      <c r="D3441" s="5">
        <v>0</v>
      </c>
      <c r="E3441" s="5">
        <v>0</v>
      </c>
    </row>
    <row r="3442" spans="1:5">
      <c r="A3442" s="4" t="str">
        <f>"20228027327"</f>
        <v>20228027327</v>
      </c>
      <c r="B3442" s="4" t="str">
        <f t="shared" si="72"/>
        <v>20220212</v>
      </c>
      <c r="C3442" s="5">
        <v>69.35</v>
      </c>
      <c r="D3442" s="5">
        <v>82</v>
      </c>
      <c r="E3442" s="5">
        <v>76.94</v>
      </c>
    </row>
    <row r="3443" spans="1:5">
      <c r="A3443" s="4" t="str">
        <f>"20228027328"</f>
        <v>20228027328</v>
      </c>
      <c r="B3443" s="4" t="str">
        <f t="shared" si="72"/>
        <v>20220212</v>
      </c>
      <c r="C3443" s="5">
        <v>80.21</v>
      </c>
      <c r="D3443" s="5">
        <v>95.1</v>
      </c>
      <c r="E3443" s="5">
        <v>89.14</v>
      </c>
    </row>
    <row r="3444" spans="1:5">
      <c r="A3444" s="4" t="str">
        <f>"20228027329"</f>
        <v>20228027329</v>
      </c>
      <c r="B3444" s="4" t="str">
        <f t="shared" si="72"/>
        <v>20220212</v>
      </c>
      <c r="C3444" s="5">
        <v>0</v>
      </c>
      <c r="D3444" s="5">
        <v>0</v>
      </c>
      <c r="E3444" s="5">
        <v>0</v>
      </c>
    </row>
    <row r="3445" spans="1:5">
      <c r="A3445" s="4" t="str">
        <f>"20228027330"</f>
        <v>20228027330</v>
      </c>
      <c r="B3445" s="4" t="str">
        <f t="shared" si="72"/>
        <v>20220212</v>
      </c>
      <c r="C3445" s="5">
        <v>67.24</v>
      </c>
      <c r="D3445" s="5">
        <v>80.7</v>
      </c>
      <c r="E3445" s="5">
        <v>75.32</v>
      </c>
    </row>
    <row r="3446" spans="1:5">
      <c r="A3446" s="4" t="str">
        <f>"20228027401"</f>
        <v>20228027401</v>
      </c>
      <c r="B3446" s="4" t="str">
        <f t="shared" si="72"/>
        <v>20220212</v>
      </c>
      <c r="C3446" s="5">
        <v>0</v>
      </c>
      <c r="D3446" s="5">
        <v>0</v>
      </c>
      <c r="E3446" s="5">
        <v>0</v>
      </c>
    </row>
    <row r="3447" spans="1:5">
      <c r="A3447" s="4" t="str">
        <f>"20228027402"</f>
        <v>20228027402</v>
      </c>
      <c r="B3447" s="4" t="str">
        <f t="shared" si="72"/>
        <v>20220212</v>
      </c>
      <c r="C3447" s="5">
        <v>0</v>
      </c>
      <c r="D3447" s="5">
        <v>0</v>
      </c>
      <c r="E3447" s="5">
        <v>0</v>
      </c>
    </row>
    <row r="3448" spans="1:5">
      <c r="A3448" s="4" t="str">
        <f>"20228027403"</f>
        <v>20228027403</v>
      </c>
      <c r="B3448" s="4" t="str">
        <f t="shared" si="72"/>
        <v>20220212</v>
      </c>
      <c r="C3448" s="5">
        <v>73.58</v>
      </c>
      <c r="D3448" s="5">
        <v>95.1</v>
      </c>
      <c r="E3448" s="5">
        <v>86.49</v>
      </c>
    </row>
    <row r="3449" spans="1:5">
      <c r="A3449" s="4" t="str">
        <f>"20228027404"</f>
        <v>20228027404</v>
      </c>
      <c r="B3449" s="4" t="str">
        <f t="shared" si="72"/>
        <v>20220212</v>
      </c>
      <c r="C3449" s="5">
        <v>0</v>
      </c>
      <c r="D3449" s="5">
        <v>0</v>
      </c>
      <c r="E3449" s="5">
        <v>0</v>
      </c>
    </row>
    <row r="3450" spans="1:5">
      <c r="A3450" s="4" t="str">
        <f>"20228027405"</f>
        <v>20228027405</v>
      </c>
      <c r="B3450" s="4" t="str">
        <f t="shared" si="72"/>
        <v>20220212</v>
      </c>
      <c r="C3450" s="5">
        <v>68.26</v>
      </c>
      <c r="D3450" s="5">
        <v>87.5</v>
      </c>
      <c r="E3450" s="5">
        <v>79.8</v>
      </c>
    </row>
    <row r="3451" spans="1:5">
      <c r="A3451" s="4" t="str">
        <f>"20228027406"</f>
        <v>20228027406</v>
      </c>
      <c r="B3451" s="4" t="str">
        <f t="shared" si="72"/>
        <v>20220212</v>
      </c>
      <c r="C3451" s="5">
        <v>81.02</v>
      </c>
      <c r="D3451" s="5">
        <v>87.3</v>
      </c>
      <c r="E3451" s="5">
        <v>84.79</v>
      </c>
    </row>
    <row r="3452" spans="1:5">
      <c r="A3452" s="4" t="str">
        <f>"20228027407"</f>
        <v>20228027407</v>
      </c>
      <c r="B3452" s="4" t="str">
        <f t="shared" si="72"/>
        <v>20220212</v>
      </c>
      <c r="C3452" s="5">
        <v>88.34</v>
      </c>
      <c r="D3452" s="5">
        <v>101.3</v>
      </c>
      <c r="E3452" s="5">
        <v>96.12</v>
      </c>
    </row>
    <row r="3453" spans="1:5">
      <c r="A3453" s="4" t="str">
        <f>"20228027408"</f>
        <v>20228027408</v>
      </c>
      <c r="B3453" s="4" t="str">
        <f t="shared" si="72"/>
        <v>20220212</v>
      </c>
      <c r="C3453" s="5">
        <v>80.05</v>
      </c>
      <c r="D3453" s="5">
        <v>93.6</v>
      </c>
      <c r="E3453" s="5">
        <v>88.18</v>
      </c>
    </row>
    <row r="3454" spans="1:5">
      <c r="A3454" s="4" t="str">
        <f>"20228027409"</f>
        <v>20228027409</v>
      </c>
      <c r="B3454" s="4" t="str">
        <f t="shared" si="72"/>
        <v>20220212</v>
      </c>
      <c r="C3454" s="5">
        <v>73.91</v>
      </c>
      <c r="D3454" s="5">
        <v>93.9</v>
      </c>
      <c r="E3454" s="5">
        <v>85.9</v>
      </c>
    </row>
    <row r="3455" spans="1:5">
      <c r="A3455" s="4" t="str">
        <f>"20228027410"</f>
        <v>20228027410</v>
      </c>
      <c r="B3455" s="4" t="str">
        <f t="shared" si="72"/>
        <v>20220212</v>
      </c>
      <c r="C3455" s="5">
        <v>0</v>
      </c>
      <c r="D3455" s="5">
        <v>0</v>
      </c>
      <c r="E3455" s="5">
        <v>0</v>
      </c>
    </row>
    <row r="3456" spans="1:5">
      <c r="A3456" s="4" t="str">
        <f>"20228027411"</f>
        <v>20228027411</v>
      </c>
      <c r="B3456" s="4" t="str">
        <f t="shared" si="72"/>
        <v>20220212</v>
      </c>
      <c r="C3456" s="5">
        <v>56.74</v>
      </c>
      <c r="D3456" s="5">
        <v>67.8</v>
      </c>
      <c r="E3456" s="5">
        <v>63.38</v>
      </c>
    </row>
    <row r="3457" spans="1:5">
      <c r="A3457" s="4" t="str">
        <f>"20228027412"</f>
        <v>20228027412</v>
      </c>
      <c r="B3457" s="4" t="str">
        <f t="shared" si="72"/>
        <v>20220212</v>
      </c>
      <c r="C3457" s="5">
        <v>75.65</v>
      </c>
      <c r="D3457" s="5">
        <v>94.4</v>
      </c>
      <c r="E3457" s="5">
        <v>86.9</v>
      </c>
    </row>
    <row r="3458" spans="1:5">
      <c r="A3458" s="4" t="str">
        <f>"20228027413"</f>
        <v>20228027413</v>
      </c>
      <c r="B3458" s="4" t="str">
        <f t="shared" si="72"/>
        <v>20220212</v>
      </c>
      <c r="C3458" s="5">
        <v>0</v>
      </c>
      <c r="D3458" s="5">
        <v>0</v>
      </c>
      <c r="E3458" s="5">
        <v>0</v>
      </c>
    </row>
    <row r="3459" spans="1:5">
      <c r="A3459" s="4" t="str">
        <f>"20228027414"</f>
        <v>20228027414</v>
      </c>
      <c r="B3459" s="4" t="str">
        <f t="shared" si="72"/>
        <v>20220212</v>
      </c>
      <c r="C3459" s="5">
        <v>0</v>
      </c>
      <c r="D3459" s="5">
        <v>0</v>
      </c>
      <c r="E3459" s="5">
        <v>0</v>
      </c>
    </row>
    <row r="3460" spans="1:5">
      <c r="A3460" s="4" t="str">
        <f>"20228027415"</f>
        <v>20228027415</v>
      </c>
      <c r="B3460" s="4" t="str">
        <f t="shared" si="72"/>
        <v>20220212</v>
      </c>
      <c r="C3460" s="5">
        <v>72.61</v>
      </c>
      <c r="D3460" s="5">
        <v>88.1</v>
      </c>
      <c r="E3460" s="5">
        <v>81.9</v>
      </c>
    </row>
    <row r="3461" spans="1:5">
      <c r="A3461" s="4" t="str">
        <f>"20228027416"</f>
        <v>20228027416</v>
      </c>
      <c r="B3461" s="4" t="str">
        <f t="shared" si="72"/>
        <v>20220212</v>
      </c>
      <c r="C3461" s="5">
        <v>0</v>
      </c>
      <c r="D3461" s="5">
        <v>0</v>
      </c>
      <c r="E3461" s="5">
        <v>0</v>
      </c>
    </row>
    <row r="3462" spans="1:5">
      <c r="A3462" s="4" t="str">
        <f>"20228027417"</f>
        <v>20228027417</v>
      </c>
      <c r="B3462" s="4" t="str">
        <f t="shared" si="72"/>
        <v>20220212</v>
      </c>
      <c r="C3462" s="5">
        <v>0</v>
      </c>
      <c r="D3462" s="5">
        <v>0</v>
      </c>
      <c r="E3462" s="5">
        <v>0</v>
      </c>
    </row>
    <row r="3463" spans="1:5">
      <c r="A3463" s="4" t="str">
        <f>"20228027418"</f>
        <v>20228027418</v>
      </c>
      <c r="B3463" s="4" t="str">
        <f t="shared" si="72"/>
        <v>20220212</v>
      </c>
      <c r="C3463" s="5">
        <v>0</v>
      </c>
      <c r="D3463" s="5">
        <v>0</v>
      </c>
      <c r="E3463" s="5">
        <v>0</v>
      </c>
    </row>
    <row r="3464" spans="1:5">
      <c r="A3464" s="4" t="str">
        <f>"20228027419"</f>
        <v>20228027419</v>
      </c>
      <c r="B3464" s="4" t="str">
        <f t="shared" si="72"/>
        <v>20220212</v>
      </c>
      <c r="C3464" s="5">
        <v>0</v>
      </c>
      <c r="D3464" s="5">
        <v>0</v>
      </c>
      <c r="E3464" s="5">
        <v>0</v>
      </c>
    </row>
    <row r="3465" spans="1:5">
      <c r="A3465" s="4" t="str">
        <f>"20228027420"</f>
        <v>20228027420</v>
      </c>
      <c r="B3465" s="4" t="str">
        <f t="shared" si="72"/>
        <v>20220212</v>
      </c>
      <c r="C3465" s="5">
        <v>68.35</v>
      </c>
      <c r="D3465" s="5">
        <v>98.1</v>
      </c>
      <c r="E3465" s="5">
        <v>86.2</v>
      </c>
    </row>
    <row r="3466" spans="1:5">
      <c r="A3466" s="4" t="str">
        <f>"20228027421"</f>
        <v>20228027421</v>
      </c>
      <c r="B3466" s="4" t="str">
        <f t="shared" si="72"/>
        <v>20220212</v>
      </c>
      <c r="C3466" s="5">
        <v>0</v>
      </c>
      <c r="D3466" s="5">
        <v>0</v>
      </c>
      <c r="E3466" s="5">
        <v>0</v>
      </c>
    </row>
    <row r="3467" spans="1:5">
      <c r="A3467" s="4" t="str">
        <f>"20228027422"</f>
        <v>20228027422</v>
      </c>
      <c r="B3467" s="4" t="str">
        <f t="shared" si="72"/>
        <v>20220212</v>
      </c>
      <c r="C3467" s="5">
        <v>54.11</v>
      </c>
      <c r="D3467" s="5">
        <v>67.7</v>
      </c>
      <c r="E3467" s="5">
        <v>62.26</v>
      </c>
    </row>
    <row r="3468" spans="1:5">
      <c r="A3468" s="4" t="str">
        <f>"20228027423"</f>
        <v>20228027423</v>
      </c>
      <c r="B3468" s="4" t="str">
        <f t="shared" si="72"/>
        <v>20220212</v>
      </c>
      <c r="C3468" s="5">
        <v>0</v>
      </c>
      <c r="D3468" s="5">
        <v>0</v>
      </c>
      <c r="E3468" s="5">
        <v>0</v>
      </c>
    </row>
    <row r="3469" spans="1:5">
      <c r="A3469" s="4" t="str">
        <f>"20228027424"</f>
        <v>20228027424</v>
      </c>
      <c r="B3469" s="4" t="str">
        <f t="shared" si="72"/>
        <v>20220212</v>
      </c>
      <c r="C3469" s="5">
        <v>0</v>
      </c>
      <c r="D3469" s="5">
        <v>0</v>
      </c>
      <c r="E3469" s="5">
        <v>0</v>
      </c>
    </row>
    <row r="3470" spans="1:5">
      <c r="A3470" s="4" t="str">
        <f>"20228027425"</f>
        <v>20228027425</v>
      </c>
      <c r="B3470" s="4" t="str">
        <f t="shared" si="72"/>
        <v>20220212</v>
      </c>
      <c r="C3470" s="5">
        <v>74.76</v>
      </c>
      <c r="D3470" s="5">
        <v>97.5</v>
      </c>
      <c r="E3470" s="5">
        <v>88.4</v>
      </c>
    </row>
    <row r="3471" spans="1:5">
      <c r="A3471" s="4" t="str">
        <f>"20228027426"</f>
        <v>20228027426</v>
      </c>
      <c r="B3471" s="4" t="str">
        <f t="shared" si="72"/>
        <v>20220212</v>
      </c>
      <c r="C3471" s="5">
        <v>68.85</v>
      </c>
      <c r="D3471" s="5">
        <v>92</v>
      </c>
      <c r="E3471" s="5">
        <v>82.74</v>
      </c>
    </row>
    <row r="3472" spans="1:5">
      <c r="A3472" s="4" t="str">
        <f>"20228027427"</f>
        <v>20228027427</v>
      </c>
      <c r="B3472" s="4" t="str">
        <f t="shared" si="72"/>
        <v>20220212</v>
      </c>
      <c r="C3472" s="5">
        <v>0</v>
      </c>
      <c r="D3472" s="5">
        <v>0</v>
      </c>
      <c r="E3472" s="5">
        <v>0</v>
      </c>
    </row>
    <row r="3473" spans="1:5">
      <c r="A3473" s="4" t="str">
        <f>"20228027428"</f>
        <v>20228027428</v>
      </c>
      <c r="B3473" s="4" t="str">
        <f t="shared" si="72"/>
        <v>20220212</v>
      </c>
      <c r="C3473" s="5">
        <v>75.27</v>
      </c>
      <c r="D3473" s="5">
        <v>85.8</v>
      </c>
      <c r="E3473" s="5">
        <v>81.59</v>
      </c>
    </row>
    <row r="3474" spans="1:5">
      <c r="A3474" s="4" t="str">
        <f>"20228027429"</f>
        <v>20228027429</v>
      </c>
      <c r="B3474" s="4" t="str">
        <f t="shared" si="72"/>
        <v>20220212</v>
      </c>
      <c r="C3474" s="5">
        <v>0</v>
      </c>
      <c r="D3474" s="5">
        <v>0</v>
      </c>
      <c r="E3474" s="5">
        <v>0</v>
      </c>
    </row>
    <row r="3475" spans="1:5">
      <c r="A3475" s="4" t="str">
        <f>"20228027430"</f>
        <v>20228027430</v>
      </c>
      <c r="B3475" s="4" t="str">
        <f t="shared" si="72"/>
        <v>20220212</v>
      </c>
      <c r="C3475" s="5">
        <v>0</v>
      </c>
      <c r="D3475" s="5">
        <v>0</v>
      </c>
      <c r="E3475" s="5">
        <v>0</v>
      </c>
    </row>
    <row r="3476" spans="1:5">
      <c r="A3476" s="4" t="str">
        <f>"20228027501"</f>
        <v>20228027501</v>
      </c>
      <c r="B3476" s="4" t="str">
        <f t="shared" si="72"/>
        <v>20220212</v>
      </c>
      <c r="C3476" s="5">
        <v>74.61</v>
      </c>
      <c r="D3476" s="5">
        <v>97.2</v>
      </c>
      <c r="E3476" s="5">
        <v>88.16</v>
      </c>
    </row>
    <row r="3477" spans="1:5">
      <c r="A3477" s="4" t="str">
        <f>"20228027502"</f>
        <v>20228027502</v>
      </c>
      <c r="B3477" s="4" t="str">
        <f t="shared" si="72"/>
        <v>20220212</v>
      </c>
      <c r="C3477" s="5">
        <v>76.83</v>
      </c>
      <c r="D3477" s="5">
        <v>89.4</v>
      </c>
      <c r="E3477" s="5">
        <v>84.37</v>
      </c>
    </row>
    <row r="3478" spans="1:5">
      <c r="A3478" s="4" t="str">
        <f>"20228027503"</f>
        <v>20228027503</v>
      </c>
      <c r="B3478" s="4" t="str">
        <f t="shared" si="72"/>
        <v>20220212</v>
      </c>
      <c r="C3478" s="5">
        <v>0</v>
      </c>
      <c r="D3478" s="5">
        <v>0</v>
      </c>
      <c r="E3478" s="5">
        <v>0</v>
      </c>
    </row>
    <row r="3479" spans="1:5">
      <c r="A3479" s="4" t="str">
        <f>"20228027504"</f>
        <v>20228027504</v>
      </c>
      <c r="B3479" s="4" t="str">
        <f t="shared" si="72"/>
        <v>20220212</v>
      </c>
      <c r="C3479" s="5">
        <v>73.07</v>
      </c>
      <c r="D3479" s="5">
        <v>79.2</v>
      </c>
      <c r="E3479" s="5">
        <v>76.75</v>
      </c>
    </row>
    <row r="3480" spans="1:5">
      <c r="A3480" s="4" t="str">
        <f>"20228027505"</f>
        <v>20228027505</v>
      </c>
      <c r="B3480" s="4" t="str">
        <f t="shared" si="72"/>
        <v>20220212</v>
      </c>
      <c r="C3480" s="5">
        <v>0</v>
      </c>
      <c r="D3480" s="5">
        <v>0</v>
      </c>
      <c r="E3480" s="5">
        <v>0</v>
      </c>
    </row>
    <row r="3481" spans="1:5">
      <c r="A3481" s="4" t="str">
        <f>"20228027506"</f>
        <v>20228027506</v>
      </c>
      <c r="B3481" s="4" t="str">
        <f t="shared" si="72"/>
        <v>20220212</v>
      </c>
      <c r="C3481" s="5">
        <v>0</v>
      </c>
      <c r="D3481" s="5">
        <v>0</v>
      </c>
      <c r="E3481" s="5">
        <v>0</v>
      </c>
    </row>
    <row r="3482" spans="1:5">
      <c r="A3482" s="4" t="str">
        <f>"20228027507"</f>
        <v>20228027507</v>
      </c>
      <c r="B3482" s="4" t="str">
        <f t="shared" si="72"/>
        <v>20220212</v>
      </c>
      <c r="C3482" s="5">
        <v>0</v>
      </c>
      <c r="D3482" s="5">
        <v>0</v>
      </c>
      <c r="E3482" s="5">
        <v>0</v>
      </c>
    </row>
    <row r="3483" spans="1:5">
      <c r="A3483" s="4" t="str">
        <f>"20228027508"</f>
        <v>20228027508</v>
      </c>
      <c r="B3483" s="4" t="str">
        <f t="shared" si="72"/>
        <v>20220212</v>
      </c>
      <c r="C3483" s="5">
        <v>0</v>
      </c>
      <c r="D3483" s="5">
        <v>0</v>
      </c>
      <c r="E3483" s="5">
        <v>0</v>
      </c>
    </row>
    <row r="3484" spans="1:5">
      <c r="A3484" s="4" t="str">
        <f>"20228027509"</f>
        <v>20228027509</v>
      </c>
      <c r="B3484" s="4" t="str">
        <f t="shared" si="72"/>
        <v>20220212</v>
      </c>
      <c r="C3484" s="5">
        <v>0</v>
      </c>
      <c r="D3484" s="5">
        <v>0</v>
      </c>
      <c r="E3484" s="5">
        <v>0</v>
      </c>
    </row>
    <row r="3485" spans="1:5">
      <c r="A3485" s="4" t="str">
        <f>"20228027510"</f>
        <v>20228027510</v>
      </c>
      <c r="B3485" s="4" t="str">
        <f t="shared" si="72"/>
        <v>20220212</v>
      </c>
      <c r="C3485" s="5">
        <v>0</v>
      </c>
      <c r="D3485" s="5">
        <v>0</v>
      </c>
      <c r="E3485" s="5">
        <v>0</v>
      </c>
    </row>
    <row r="3486" spans="1:5">
      <c r="A3486" s="4" t="str">
        <f>"20228027511"</f>
        <v>20228027511</v>
      </c>
      <c r="B3486" s="4" t="str">
        <f t="shared" si="72"/>
        <v>20220212</v>
      </c>
      <c r="C3486" s="5">
        <v>77.18</v>
      </c>
      <c r="D3486" s="5">
        <v>101.2</v>
      </c>
      <c r="E3486" s="5">
        <v>91.59</v>
      </c>
    </row>
    <row r="3487" spans="1:5">
      <c r="A3487" s="4" t="str">
        <f>"20228027512"</f>
        <v>20228027512</v>
      </c>
      <c r="B3487" s="4" t="str">
        <f t="shared" si="72"/>
        <v>20220212</v>
      </c>
      <c r="C3487" s="5">
        <v>86.94</v>
      </c>
      <c r="D3487" s="5">
        <v>90</v>
      </c>
      <c r="E3487" s="5">
        <v>88.78</v>
      </c>
    </row>
    <row r="3488" spans="1:5">
      <c r="A3488" s="4" t="str">
        <f>"20228027513"</f>
        <v>20228027513</v>
      </c>
      <c r="B3488" s="4" t="str">
        <f t="shared" si="72"/>
        <v>20220212</v>
      </c>
      <c r="C3488" s="5">
        <v>98.7</v>
      </c>
      <c r="D3488" s="5">
        <v>93.5</v>
      </c>
      <c r="E3488" s="5">
        <v>95.58</v>
      </c>
    </row>
    <row r="3489" spans="1:5">
      <c r="A3489" s="4" t="str">
        <f>"20228027514"</f>
        <v>20228027514</v>
      </c>
      <c r="B3489" s="4" t="str">
        <f t="shared" si="72"/>
        <v>20220212</v>
      </c>
      <c r="C3489" s="5">
        <v>79.11</v>
      </c>
      <c r="D3489" s="5">
        <v>97.2</v>
      </c>
      <c r="E3489" s="5">
        <v>89.96</v>
      </c>
    </row>
    <row r="3490" spans="1:5">
      <c r="A3490" s="4" t="str">
        <f>"20228027515"</f>
        <v>20228027515</v>
      </c>
      <c r="B3490" s="4" t="str">
        <f t="shared" si="72"/>
        <v>20220212</v>
      </c>
      <c r="C3490" s="5">
        <v>70.25</v>
      </c>
      <c r="D3490" s="5">
        <v>93.4</v>
      </c>
      <c r="E3490" s="5">
        <v>84.14</v>
      </c>
    </row>
    <row r="3491" spans="1:5">
      <c r="A3491" s="4" t="str">
        <f>"20228027516"</f>
        <v>20228027516</v>
      </c>
      <c r="B3491" s="4" t="str">
        <f t="shared" si="72"/>
        <v>20220212</v>
      </c>
      <c r="C3491" s="5">
        <v>0</v>
      </c>
      <c r="D3491" s="5">
        <v>0</v>
      </c>
      <c r="E3491" s="5">
        <v>0</v>
      </c>
    </row>
    <row r="3492" spans="1:5">
      <c r="A3492" s="4" t="str">
        <f>"20228027517"</f>
        <v>20228027517</v>
      </c>
      <c r="B3492" s="4" t="str">
        <f t="shared" si="72"/>
        <v>20220212</v>
      </c>
      <c r="C3492" s="5">
        <v>0</v>
      </c>
      <c r="D3492" s="5">
        <v>0</v>
      </c>
      <c r="E3492" s="5">
        <v>0</v>
      </c>
    </row>
    <row r="3493" spans="1:5">
      <c r="A3493" s="4" t="str">
        <f>"20228027518"</f>
        <v>20228027518</v>
      </c>
      <c r="B3493" s="4" t="str">
        <f t="shared" si="72"/>
        <v>20220212</v>
      </c>
      <c r="C3493" s="5">
        <v>0</v>
      </c>
      <c r="D3493" s="5">
        <v>0</v>
      </c>
      <c r="E3493" s="5">
        <v>0</v>
      </c>
    </row>
    <row r="3494" spans="1:5">
      <c r="A3494" s="4" t="str">
        <f>"20228027519"</f>
        <v>20228027519</v>
      </c>
      <c r="B3494" s="4" t="str">
        <f t="shared" si="72"/>
        <v>20220212</v>
      </c>
      <c r="C3494" s="5">
        <v>0</v>
      </c>
      <c r="D3494" s="5">
        <v>0</v>
      </c>
      <c r="E3494" s="5">
        <v>0</v>
      </c>
    </row>
    <row r="3495" spans="1:5">
      <c r="A3495" s="4" t="str">
        <f>"20228027520"</f>
        <v>20228027520</v>
      </c>
      <c r="B3495" s="4" t="str">
        <f t="shared" si="72"/>
        <v>20220212</v>
      </c>
      <c r="C3495" s="5">
        <v>64.1</v>
      </c>
      <c r="D3495" s="5">
        <v>78.8</v>
      </c>
      <c r="E3495" s="5">
        <v>72.92</v>
      </c>
    </row>
    <row r="3496" spans="1:5">
      <c r="A3496" s="4" t="str">
        <f>"20228027521"</f>
        <v>20228027521</v>
      </c>
      <c r="B3496" s="4" t="str">
        <f t="shared" si="72"/>
        <v>20220212</v>
      </c>
      <c r="C3496" s="5">
        <v>0</v>
      </c>
      <c r="D3496" s="5">
        <v>0</v>
      </c>
      <c r="E3496" s="5">
        <v>0</v>
      </c>
    </row>
    <row r="3497" spans="1:5">
      <c r="A3497" s="4" t="str">
        <f>"20228027522"</f>
        <v>20228027522</v>
      </c>
      <c r="B3497" s="4" t="str">
        <f t="shared" si="72"/>
        <v>20220212</v>
      </c>
      <c r="C3497" s="5">
        <v>79.36</v>
      </c>
      <c r="D3497" s="5">
        <v>79.5</v>
      </c>
      <c r="E3497" s="5">
        <v>79.44</v>
      </c>
    </row>
    <row r="3498" spans="1:5">
      <c r="A3498" s="4" t="str">
        <f>"20228027523"</f>
        <v>20228027523</v>
      </c>
      <c r="B3498" s="4" t="str">
        <f t="shared" si="72"/>
        <v>20220212</v>
      </c>
      <c r="C3498" s="5">
        <v>0</v>
      </c>
      <c r="D3498" s="5">
        <v>0</v>
      </c>
      <c r="E3498" s="5">
        <v>0</v>
      </c>
    </row>
    <row r="3499" spans="1:5">
      <c r="A3499" s="4" t="str">
        <f>"20228027524"</f>
        <v>20228027524</v>
      </c>
      <c r="B3499" s="4" t="str">
        <f t="shared" ref="B3499:B3562" si="73">"20220212"</f>
        <v>20220212</v>
      </c>
      <c r="C3499" s="5">
        <v>76.71</v>
      </c>
      <c r="D3499" s="5">
        <v>83.3</v>
      </c>
      <c r="E3499" s="5">
        <v>80.66</v>
      </c>
    </row>
    <row r="3500" spans="1:5">
      <c r="A3500" s="4" t="str">
        <f>"20228027525"</f>
        <v>20228027525</v>
      </c>
      <c r="B3500" s="4" t="str">
        <f t="shared" si="73"/>
        <v>20220212</v>
      </c>
      <c r="C3500" s="5">
        <v>72.8</v>
      </c>
      <c r="D3500" s="5">
        <v>94.4</v>
      </c>
      <c r="E3500" s="5">
        <v>85.76</v>
      </c>
    </row>
    <row r="3501" spans="1:5">
      <c r="A3501" s="4" t="str">
        <f>"20228027526"</f>
        <v>20228027526</v>
      </c>
      <c r="B3501" s="4" t="str">
        <f t="shared" si="73"/>
        <v>20220212</v>
      </c>
      <c r="C3501" s="5">
        <v>0</v>
      </c>
      <c r="D3501" s="5">
        <v>0</v>
      </c>
      <c r="E3501" s="5">
        <v>0</v>
      </c>
    </row>
    <row r="3502" spans="1:5">
      <c r="A3502" s="4" t="str">
        <f>"20228027527"</f>
        <v>20228027527</v>
      </c>
      <c r="B3502" s="4" t="str">
        <f t="shared" si="73"/>
        <v>20220212</v>
      </c>
      <c r="C3502" s="5">
        <v>71.52</v>
      </c>
      <c r="D3502" s="5">
        <v>89.6</v>
      </c>
      <c r="E3502" s="5">
        <v>82.37</v>
      </c>
    </row>
    <row r="3503" spans="1:5">
      <c r="A3503" s="4" t="str">
        <f>"20228027528"</f>
        <v>20228027528</v>
      </c>
      <c r="B3503" s="4" t="str">
        <f t="shared" si="73"/>
        <v>20220212</v>
      </c>
      <c r="C3503" s="5">
        <v>0</v>
      </c>
      <c r="D3503" s="5">
        <v>0</v>
      </c>
      <c r="E3503" s="5">
        <v>0</v>
      </c>
    </row>
    <row r="3504" spans="1:5">
      <c r="A3504" s="4" t="str">
        <f>"20228027529"</f>
        <v>20228027529</v>
      </c>
      <c r="B3504" s="4" t="str">
        <f t="shared" si="73"/>
        <v>20220212</v>
      </c>
      <c r="C3504" s="5">
        <v>52.58</v>
      </c>
      <c r="D3504" s="5">
        <v>84.1</v>
      </c>
      <c r="E3504" s="5">
        <v>71.49</v>
      </c>
    </row>
    <row r="3505" spans="1:5">
      <c r="A3505" s="4" t="str">
        <f>"20228027530"</f>
        <v>20228027530</v>
      </c>
      <c r="B3505" s="4" t="str">
        <f t="shared" si="73"/>
        <v>20220212</v>
      </c>
      <c r="C3505" s="5">
        <v>0</v>
      </c>
      <c r="D3505" s="5">
        <v>0</v>
      </c>
      <c r="E3505" s="5">
        <v>0</v>
      </c>
    </row>
    <row r="3506" spans="1:5">
      <c r="A3506" s="4" t="str">
        <f>"20228027601"</f>
        <v>20228027601</v>
      </c>
      <c r="B3506" s="4" t="str">
        <f t="shared" si="73"/>
        <v>20220212</v>
      </c>
      <c r="C3506" s="5">
        <v>0</v>
      </c>
      <c r="D3506" s="5">
        <v>0</v>
      </c>
      <c r="E3506" s="5">
        <v>0</v>
      </c>
    </row>
    <row r="3507" spans="1:5">
      <c r="A3507" s="4" t="str">
        <f>"20228027602"</f>
        <v>20228027602</v>
      </c>
      <c r="B3507" s="4" t="str">
        <f t="shared" si="73"/>
        <v>20220212</v>
      </c>
      <c r="C3507" s="5">
        <v>93.28</v>
      </c>
      <c r="D3507" s="5">
        <v>90.9</v>
      </c>
      <c r="E3507" s="5">
        <v>91.85</v>
      </c>
    </row>
    <row r="3508" spans="1:5">
      <c r="A3508" s="4" t="str">
        <f>"20228027603"</f>
        <v>20228027603</v>
      </c>
      <c r="B3508" s="4" t="str">
        <f t="shared" si="73"/>
        <v>20220212</v>
      </c>
      <c r="C3508" s="5">
        <v>96.17</v>
      </c>
      <c r="D3508" s="5">
        <v>97.7</v>
      </c>
      <c r="E3508" s="5">
        <v>97.09</v>
      </c>
    </row>
    <row r="3509" spans="1:5">
      <c r="A3509" s="4" t="str">
        <f>"20228027604"</f>
        <v>20228027604</v>
      </c>
      <c r="B3509" s="4" t="str">
        <f t="shared" si="73"/>
        <v>20220212</v>
      </c>
      <c r="C3509" s="5">
        <v>0</v>
      </c>
      <c r="D3509" s="5">
        <v>0</v>
      </c>
      <c r="E3509" s="5">
        <v>0</v>
      </c>
    </row>
    <row r="3510" spans="1:5">
      <c r="A3510" s="4" t="str">
        <f>"20228027605"</f>
        <v>20228027605</v>
      </c>
      <c r="B3510" s="4" t="str">
        <f t="shared" si="73"/>
        <v>20220212</v>
      </c>
      <c r="C3510" s="5">
        <v>78.76</v>
      </c>
      <c r="D3510" s="5">
        <v>90.1</v>
      </c>
      <c r="E3510" s="5">
        <v>85.56</v>
      </c>
    </row>
    <row r="3511" spans="1:5">
      <c r="A3511" s="4" t="str">
        <f>"20228027606"</f>
        <v>20228027606</v>
      </c>
      <c r="B3511" s="4" t="str">
        <f t="shared" si="73"/>
        <v>20220212</v>
      </c>
      <c r="C3511" s="5">
        <v>0</v>
      </c>
      <c r="D3511" s="5">
        <v>0</v>
      </c>
      <c r="E3511" s="5">
        <v>0</v>
      </c>
    </row>
    <row r="3512" spans="1:5">
      <c r="A3512" s="4" t="str">
        <f>"20228027607"</f>
        <v>20228027607</v>
      </c>
      <c r="B3512" s="4" t="str">
        <f t="shared" si="73"/>
        <v>20220212</v>
      </c>
      <c r="C3512" s="5">
        <v>62.1</v>
      </c>
      <c r="D3512" s="5">
        <v>90.5</v>
      </c>
      <c r="E3512" s="5">
        <v>79.14</v>
      </c>
    </row>
    <row r="3513" spans="1:5">
      <c r="A3513" s="4" t="str">
        <f>"20228027608"</f>
        <v>20228027608</v>
      </c>
      <c r="B3513" s="4" t="str">
        <f t="shared" si="73"/>
        <v>20220212</v>
      </c>
      <c r="C3513" s="5">
        <v>0</v>
      </c>
      <c r="D3513" s="5">
        <v>0</v>
      </c>
      <c r="E3513" s="5">
        <v>0</v>
      </c>
    </row>
    <row r="3514" spans="1:5">
      <c r="A3514" s="4" t="str">
        <f>"20228027609"</f>
        <v>20228027609</v>
      </c>
      <c r="B3514" s="4" t="str">
        <f t="shared" si="73"/>
        <v>20220212</v>
      </c>
      <c r="C3514" s="5">
        <v>79.88</v>
      </c>
      <c r="D3514" s="5">
        <v>96.9</v>
      </c>
      <c r="E3514" s="5">
        <v>90.09</v>
      </c>
    </row>
    <row r="3515" spans="1:5">
      <c r="A3515" s="4" t="str">
        <f>"20228027610"</f>
        <v>20228027610</v>
      </c>
      <c r="B3515" s="4" t="str">
        <f t="shared" si="73"/>
        <v>20220212</v>
      </c>
      <c r="C3515" s="5">
        <v>86.18</v>
      </c>
      <c r="D3515" s="5">
        <v>99.2</v>
      </c>
      <c r="E3515" s="5">
        <v>93.99</v>
      </c>
    </row>
    <row r="3516" spans="1:5">
      <c r="A3516" s="4" t="str">
        <f>"20228027611"</f>
        <v>20228027611</v>
      </c>
      <c r="B3516" s="4" t="str">
        <f t="shared" si="73"/>
        <v>20220212</v>
      </c>
      <c r="C3516" s="5">
        <v>65.11</v>
      </c>
      <c r="D3516" s="5">
        <v>80.9</v>
      </c>
      <c r="E3516" s="5">
        <v>74.58</v>
      </c>
    </row>
    <row r="3517" spans="1:5">
      <c r="A3517" s="4" t="str">
        <f>"20228027612"</f>
        <v>20228027612</v>
      </c>
      <c r="B3517" s="4" t="str">
        <f t="shared" si="73"/>
        <v>20220212</v>
      </c>
      <c r="C3517" s="5">
        <v>71.75</v>
      </c>
      <c r="D3517" s="5">
        <v>90</v>
      </c>
      <c r="E3517" s="5">
        <v>82.7</v>
      </c>
    </row>
    <row r="3518" spans="1:5">
      <c r="A3518" s="4" t="str">
        <f>"20228027613"</f>
        <v>20228027613</v>
      </c>
      <c r="B3518" s="4" t="str">
        <f t="shared" si="73"/>
        <v>20220212</v>
      </c>
      <c r="C3518" s="5">
        <v>0</v>
      </c>
      <c r="D3518" s="5">
        <v>0</v>
      </c>
      <c r="E3518" s="5">
        <v>0</v>
      </c>
    </row>
    <row r="3519" spans="1:5">
      <c r="A3519" s="4" t="str">
        <f>"20228027614"</f>
        <v>20228027614</v>
      </c>
      <c r="B3519" s="4" t="str">
        <f t="shared" si="73"/>
        <v>20220212</v>
      </c>
      <c r="C3519" s="5">
        <v>0</v>
      </c>
      <c r="D3519" s="5">
        <v>0</v>
      </c>
      <c r="E3519" s="5">
        <v>0</v>
      </c>
    </row>
    <row r="3520" spans="1:5">
      <c r="A3520" s="4" t="str">
        <f>"20228027615"</f>
        <v>20228027615</v>
      </c>
      <c r="B3520" s="4" t="str">
        <f t="shared" si="73"/>
        <v>20220212</v>
      </c>
      <c r="C3520" s="5">
        <v>0</v>
      </c>
      <c r="D3520" s="5">
        <v>0</v>
      </c>
      <c r="E3520" s="5">
        <v>0</v>
      </c>
    </row>
    <row r="3521" spans="1:5">
      <c r="A3521" s="4" t="str">
        <f>"20228027616"</f>
        <v>20228027616</v>
      </c>
      <c r="B3521" s="4" t="str">
        <f t="shared" si="73"/>
        <v>20220212</v>
      </c>
      <c r="C3521" s="5">
        <v>0</v>
      </c>
      <c r="D3521" s="5">
        <v>0</v>
      </c>
      <c r="E3521" s="5">
        <v>0</v>
      </c>
    </row>
    <row r="3522" spans="1:5">
      <c r="A3522" s="4" t="str">
        <f>"20228027617"</f>
        <v>20228027617</v>
      </c>
      <c r="B3522" s="4" t="str">
        <f t="shared" si="73"/>
        <v>20220212</v>
      </c>
      <c r="C3522" s="5">
        <v>0</v>
      </c>
      <c r="D3522" s="5">
        <v>0</v>
      </c>
      <c r="E3522" s="5">
        <v>0</v>
      </c>
    </row>
    <row r="3523" spans="1:5">
      <c r="A3523" s="4" t="str">
        <f>"20228027618"</f>
        <v>20228027618</v>
      </c>
      <c r="B3523" s="4" t="str">
        <f t="shared" si="73"/>
        <v>20220212</v>
      </c>
      <c r="C3523" s="5">
        <v>0</v>
      </c>
      <c r="D3523" s="5">
        <v>0</v>
      </c>
      <c r="E3523" s="5">
        <v>0</v>
      </c>
    </row>
    <row r="3524" spans="1:5">
      <c r="A3524" s="4" t="str">
        <f>"20228027619"</f>
        <v>20228027619</v>
      </c>
      <c r="B3524" s="4" t="str">
        <f t="shared" si="73"/>
        <v>20220212</v>
      </c>
      <c r="C3524" s="5">
        <v>0</v>
      </c>
      <c r="D3524" s="5">
        <v>0</v>
      </c>
      <c r="E3524" s="5">
        <v>0</v>
      </c>
    </row>
    <row r="3525" spans="1:5">
      <c r="A3525" s="4" t="str">
        <f>"20228027620"</f>
        <v>20228027620</v>
      </c>
      <c r="B3525" s="4" t="str">
        <f t="shared" si="73"/>
        <v>20220212</v>
      </c>
      <c r="C3525" s="5">
        <v>76.4</v>
      </c>
      <c r="D3525" s="5">
        <v>85.1</v>
      </c>
      <c r="E3525" s="5">
        <v>81.62</v>
      </c>
    </row>
    <row r="3526" spans="1:5">
      <c r="A3526" s="4" t="str">
        <f>"20228027621"</f>
        <v>20228027621</v>
      </c>
      <c r="B3526" s="4" t="str">
        <f t="shared" si="73"/>
        <v>20220212</v>
      </c>
      <c r="C3526" s="5">
        <v>0</v>
      </c>
      <c r="D3526" s="5">
        <v>0</v>
      </c>
      <c r="E3526" s="5">
        <v>0</v>
      </c>
    </row>
    <row r="3527" spans="1:5">
      <c r="A3527" s="4" t="str">
        <f>"20228027622"</f>
        <v>20228027622</v>
      </c>
      <c r="B3527" s="4" t="str">
        <f t="shared" si="73"/>
        <v>20220212</v>
      </c>
      <c r="C3527" s="5">
        <v>0</v>
      </c>
      <c r="D3527" s="5">
        <v>0</v>
      </c>
      <c r="E3527" s="5">
        <v>0</v>
      </c>
    </row>
    <row r="3528" spans="1:5">
      <c r="A3528" s="4" t="str">
        <f>"20228027623"</f>
        <v>20228027623</v>
      </c>
      <c r="B3528" s="4" t="str">
        <f t="shared" si="73"/>
        <v>20220212</v>
      </c>
      <c r="C3528" s="5">
        <v>0</v>
      </c>
      <c r="D3528" s="5">
        <v>0</v>
      </c>
      <c r="E3528" s="5">
        <v>0</v>
      </c>
    </row>
    <row r="3529" spans="1:5">
      <c r="A3529" s="4" t="str">
        <f>"20228027624"</f>
        <v>20228027624</v>
      </c>
      <c r="B3529" s="4" t="str">
        <f t="shared" si="73"/>
        <v>20220212</v>
      </c>
      <c r="C3529" s="5">
        <v>0</v>
      </c>
      <c r="D3529" s="5">
        <v>0</v>
      </c>
      <c r="E3529" s="5">
        <v>0</v>
      </c>
    </row>
    <row r="3530" spans="1:5">
      <c r="A3530" s="4" t="str">
        <f>"20228027625"</f>
        <v>20228027625</v>
      </c>
      <c r="B3530" s="4" t="str">
        <f t="shared" si="73"/>
        <v>20220212</v>
      </c>
      <c r="C3530" s="5">
        <v>0</v>
      </c>
      <c r="D3530" s="5">
        <v>0</v>
      </c>
      <c r="E3530" s="5">
        <v>0</v>
      </c>
    </row>
    <row r="3531" spans="1:5">
      <c r="A3531" s="4" t="str">
        <f>"20228027626"</f>
        <v>20228027626</v>
      </c>
      <c r="B3531" s="4" t="str">
        <f t="shared" si="73"/>
        <v>20220212</v>
      </c>
      <c r="C3531" s="5">
        <v>76.82</v>
      </c>
      <c r="D3531" s="5">
        <v>89.2</v>
      </c>
      <c r="E3531" s="5">
        <v>84.25</v>
      </c>
    </row>
    <row r="3532" spans="1:5">
      <c r="A3532" s="4" t="str">
        <f>"20228027627"</f>
        <v>20228027627</v>
      </c>
      <c r="B3532" s="4" t="str">
        <f t="shared" si="73"/>
        <v>20220212</v>
      </c>
      <c r="C3532" s="5">
        <v>0</v>
      </c>
      <c r="D3532" s="5">
        <v>0</v>
      </c>
      <c r="E3532" s="5">
        <v>0</v>
      </c>
    </row>
    <row r="3533" spans="1:5">
      <c r="A3533" s="4" t="str">
        <f>"20228027628"</f>
        <v>20228027628</v>
      </c>
      <c r="B3533" s="4" t="str">
        <f t="shared" si="73"/>
        <v>20220212</v>
      </c>
      <c r="C3533" s="5">
        <v>0</v>
      </c>
      <c r="D3533" s="5">
        <v>0</v>
      </c>
      <c r="E3533" s="5">
        <v>0</v>
      </c>
    </row>
    <row r="3534" spans="1:5">
      <c r="A3534" s="4" t="str">
        <f>"20228027629"</f>
        <v>20228027629</v>
      </c>
      <c r="B3534" s="4" t="str">
        <f t="shared" si="73"/>
        <v>20220212</v>
      </c>
      <c r="C3534" s="5">
        <v>81.24</v>
      </c>
      <c r="D3534" s="5">
        <v>91.9</v>
      </c>
      <c r="E3534" s="5">
        <v>87.64</v>
      </c>
    </row>
    <row r="3535" spans="1:5">
      <c r="A3535" s="4" t="str">
        <f>"20228027630"</f>
        <v>20228027630</v>
      </c>
      <c r="B3535" s="4" t="str">
        <f t="shared" si="73"/>
        <v>20220212</v>
      </c>
      <c r="C3535" s="5">
        <v>0</v>
      </c>
      <c r="D3535" s="5">
        <v>0</v>
      </c>
      <c r="E3535" s="5">
        <v>0</v>
      </c>
    </row>
    <row r="3536" spans="1:5">
      <c r="A3536" s="4" t="str">
        <f>"20228027701"</f>
        <v>20228027701</v>
      </c>
      <c r="B3536" s="4" t="str">
        <f t="shared" si="73"/>
        <v>20220212</v>
      </c>
      <c r="C3536" s="5">
        <v>0</v>
      </c>
      <c r="D3536" s="5">
        <v>0</v>
      </c>
      <c r="E3536" s="5">
        <v>0</v>
      </c>
    </row>
    <row r="3537" spans="1:5">
      <c r="A3537" s="4" t="str">
        <f>"20228027702"</f>
        <v>20228027702</v>
      </c>
      <c r="B3537" s="4" t="str">
        <f t="shared" si="73"/>
        <v>20220212</v>
      </c>
      <c r="C3537" s="5">
        <v>0</v>
      </c>
      <c r="D3537" s="5">
        <v>0</v>
      </c>
      <c r="E3537" s="5">
        <v>0</v>
      </c>
    </row>
    <row r="3538" spans="1:5">
      <c r="A3538" s="4" t="str">
        <f>"20228027703"</f>
        <v>20228027703</v>
      </c>
      <c r="B3538" s="4" t="str">
        <f t="shared" si="73"/>
        <v>20220212</v>
      </c>
      <c r="C3538" s="5">
        <v>68.62</v>
      </c>
      <c r="D3538" s="5">
        <v>85.2</v>
      </c>
      <c r="E3538" s="5">
        <v>78.57</v>
      </c>
    </row>
    <row r="3539" spans="1:5">
      <c r="A3539" s="4" t="str">
        <f>"20228027704"</f>
        <v>20228027704</v>
      </c>
      <c r="B3539" s="4" t="str">
        <f t="shared" si="73"/>
        <v>20220212</v>
      </c>
      <c r="C3539" s="5">
        <v>81.92</v>
      </c>
      <c r="D3539" s="5">
        <v>94.6</v>
      </c>
      <c r="E3539" s="5">
        <v>89.53</v>
      </c>
    </row>
    <row r="3540" spans="1:5">
      <c r="A3540" s="4" t="str">
        <f>"20228027705"</f>
        <v>20228027705</v>
      </c>
      <c r="B3540" s="4" t="str">
        <f t="shared" si="73"/>
        <v>20220212</v>
      </c>
      <c r="C3540" s="5">
        <v>83.42</v>
      </c>
      <c r="D3540" s="5">
        <v>81.4</v>
      </c>
      <c r="E3540" s="5">
        <v>82.21</v>
      </c>
    </row>
    <row r="3541" spans="1:5">
      <c r="A3541" s="4" t="str">
        <f>"20228027706"</f>
        <v>20228027706</v>
      </c>
      <c r="B3541" s="4" t="str">
        <f t="shared" si="73"/>
        <v>20220212</v>
      </c>
      <c r="C3541" s="5">
        <v>65.37</v>
      </c>
      <c r="D3541" s="5">
        <v>81.9</v>
      </c>
      <c r="E3541" s="5">
        <v>75.29</v>
      </c>
    </row>
    <row r="3542" spans="1:5">
      <c r="A3542" s="4" t="str">
        <f>"20228027707"</f>
        <v>20228027707</v>
      </c>
      <c r="B3542" s="4" t="str">
        <f t="shared" si="73"/>
        <v>20220212</v>
      </c>
      <c r="C3542" s="5">
        <v>0</v>
      </c>
      <c r="D3542" s="5">
        <v>0</v>
      </c>
      <c r="E3542" s="5">
        <v>0</v>
      </c>
    </row>
    <row r="3543" spans="1:5">
      <c r="A3543" s="4" t="str">
        <f>"20228027708"</f>
        <v>20228027708</v>
      </c>
      <c r="B3543" s="4" t="str">
        <f t="shared" si="73"/>
        <v>20220212</v>
      </c>
      <c r="C3543" s="5">
        <v>74.67</v>
      </c>
      <c r="D3543" s="5">
        <v>90.3</v>
      </c>
      <c r="E3543" s="5">
        <v>84.05</v>
      </c>
    </row>
    <row r="3544" spans="1:5">
      <c r="A3544" s="4" t="str">
        <f>"20228027709"</f>
        <v>20228027709</v>
      </c>
      <c r="B3544" s="4" t="str">
        <f t="shared" si="73"/>
        <v>20220212</v>
      </c>
      <c r="C3544" s="5">
        <v>0</v>
      </c>
      <c r="D3544" s="5">
        <v>0</v>
      </c>
      <c r="E3544" s="5">
        <v>0</v>
      </c>
    </row>
    <row r="3545" spans="1:5">
      <c r="A3545" s="4" t="str">
        <f>"20228027710"</f>
        <v>20228027710</v>
      </c>
      <c r="B3545" s="4" t="str">
        <f t="shared" si="73"/>
        <v>20220212</v>
      </c>
      <c r="C3545" s="5">
        <v>74.43</v>
      </c>
      <c r="D3545" s="5">
        <v>99.4</v>
      </c>
      <c r="E3545" s="5">
        <v>89.41</v>
      </c>
    </row>
    <row r="3546" spans="1:5">
      <c r="A3546" s="4" t="str">
        <f>"20228027711"</f>
        <v>20228027711</v>
      </c>
      <c r="B3546" s="4" t="str">
        <f t="shared" si="73"/>
        <v>20220212</v>
      </c>
      <c r="C3546" s="5">
        <v>0</v>
      </c>
      <c r="D3546" s="5">
        <v>0</v>
      </c>
      <c r="E3546" s="5">
        <v>0</v>
      </c>
    </row>
    <row r="3547" spans="1:5">
      <c r="A3547" s="4" t="str">
        <f>"20228027712"</f>
        <v>20228027712</v>
      </c>
      <c r="B3547" s="4" t="str">
        <f t="shared" si="73"/>
        <v>20220212</v>
      </c>
      <c r="C3547" s="5">
        <v>0</v>
      </c>
      <c r="D3547" s="5">
        <v>0</v>
      </c>
      <c r="E3547" s="5">
        <v>0</v>
      </c>
    </row>
    <row r="3548" spans="1:5">
      <c r="A3548" s="4" t="str">
        <f>"20228027713"</f>
        <v>20228027713</v>
      </c>
      <c r="B3548" s="4" t="str">
        <f t="shared" si="73"/>
        <v>20220212</v>
      </c>
      <c r="C3548" s="5">
        <v>0</v>
      </c>
      <c r="D3548" s="5">
        <v>0</v>
      </c>
      <c r="E3548" s="5">
        <v>0</v>
      </c>
    </row>
    <row r="3549" spans="1:5">
      <c r="A3549" s="4" t="str">
        <f>"20228027714"</f>
        <v>20228027714</v>
      </c>
      <c r="B3549" s="4" t="str">
        <f t="shared" si="73"/>
        <v>20220212</v>
      </c>
      <c r="C3549" s="5">
        <v>0</v>
      </c>
      <c r="D3549" s="5">
        <v>0</v>
      </c>
      <c r="E3549" s="5">
        <v>0</v>
      </c>
    </row>
    <row r="3550" spans="1:5">
      <c r="A3550" s="4" t="str">
        <f>"20228027715"</f>
        <v>20228027715</v>
      </c>
      <c r="B3550" s="4" t="str">
        <f t="shared" si="73"/>
        <v>20220212</v>
      </c>
      <c r="C3550" s="5">
        <v>69.69</v>
      </c>
      <c r="D3550" s="5">
        <v>84.8</v>
      </c>
      <c r="E3550" s="5">
        <v>78.76</v>
      </c>
    </row>
    <row r="3551" spans="1:5">
      <c r="A3551" s="4" t="str">
        <f>"20228027716"</f>
        <v>20228027716</v>
      </c>
      <c r="B3551" s="4" t="str">
        <f t="shared" si="73"/>
        <v>20220212</v>
      </c>
      <c r="C3551" s="5">
        <v>0</v>
      </c>
      <c r="D3551" s="5">
        <v>0</v>
      </c>
      <c r="E3551" s="5">
        <v>0</v>
      </c>
    </row>
    <row r="3552" spans="1:5">
      <c r="A3552" s="4" t="str">
        <f>"20228027717"</f>
        <v>20228027717</v>
      </c>
      <c r="B3552" s="4" t="str">
        <f t="shared" si="73"/>
        <v>20220212</v>
      </c>
      <c r="C3552" s="5">
        <v>83.15</v>
      </c>
      <c r="D3552" s="5">
        <v>94.2</v>
      </c>
      <c r="E3552" s="5">
        <v>89.78</v>
      </c>
    </row>
    <row r="3553" spans="1:5">
      <c r="A3553" s="4" t="str">
        <f>"20228027718"</f>
        <v>20228027718</v>
      </c>
      <c r="B3553" s="4" t="str">
        <f t="shared" si="73"/>
        <v>20220212</v>
      </c>
      <c r="C3553" s="5">
        <v>0</v>
      </c>
      <c r="D3553" s="5">
        <v>0</v>
      </c>
      <c r="E3553" s="5">
        <v>0</v>
      </c>
    </row>
    <row r="3554" spans="1:5">
      <c r="A3554" s="4" t="str">
        <f>"20228027719"</f>
        <v>20228027719</v>
      </c>
      <c r="B3554" s="4" t="str">
        <f t="shared" si="73"/>
        <v>20220212</v>
      </c>
      <c r="C3554" s="5">
        <v>70.07</v>
      </c>
      <c r="D3554" s="5">
        <v>83</v>
      </c>
      <c r="E3554" s="5">
        <v>77.83</v>
      </c>
    </row>
    <row r="3555" spans="1:5">
      <c r="A3555" s="4" t="str">
        <f>"20228027720"</f>
        <v>20228027720</v>
      </c>
      <c r="B3555" s="4" t="str">
        <f t="shared" si="73"/>
        <v>20220212</v>
      </c>
      <c r="C3555" s="5">
        <v>84.86</v>
      </c>
      <c r="D3555" s="5">
        <v>88.5</v>
      </c>
      <c r="E3555" s="5">
        <v>87.04</v>
      </c>
    </row>
    <row r="3556" spans="1:5">
      <c r="A3556" s="4" t="str">
        <f>"20228027721"</f>
        <v>20228027721</v>
      </c>
      <c r="B3556" s="4" t="str">
        <f t="shared" si="73"/>
        <v>20220212</v>
      </c>
      <c r="C3556" s="5">
        <v>0</v>
      </c>
      <c r="D3556" s="5">
        <v>0</v>
      </c>
      <c r="E3556" s="5">
        <v>0</v>
      </c>
    </row>
    <row r="3557" spans="1:5">
      <c r="A3557" s="4" t="str">
        <f>"20228027722"</f>
        <v>20228027722</v>
      </c>
      <c r="B3557" s="4" t="str">
        <f t="shared" si="73"/>
        <v>20220212</v>
      </c>
      <c r="C3557" s="5">
        <v>0</v>
      </c>
      <c r="D3557" s="5">
        <v>0</v>
      </c>
      <c r="E3557" s="5">
        <v>0</v>
      </c>
    </row>
    <row r="3558" spans="1:5">
      <c r="A3558" s="4" t="str">
        <f>"20228027723"</f>
        <v>20228027723</v>
      </c>
      <c r="B3558" s="4" t="str">
        <f t="shared" si="73"/>
        <v>20220212</v>
      </c>
      <c r="C3558" s="5">
        <v>0</v>
      </c>
      <c r="D3558" s="5">
        <v>0</v>
      </c>
      <c r="E3558" s="5">
        <v>0</v>
      </c>
    </row>
    <row r="3559" spans="1:5">
      <c r="A3559" s="4" t="str">
        <f>"20228027724"</f>
        <v>20228027724</v>
      </c>
      <c r="B3559" s="4" t="str">
        <f t="shared" si="73"/>
        <v>20220212</v>
      </c>
      <c r="C3559" s="5">
        <v>82.07</v>
      </c>
      <c r="D3559" s="5">
        <v>84</v>
      </c>
      <c r="E3559" s="5">
        <v>83.23</v>
      </c>
    </row>
    <row r="3560" spans="1:5">
      <c r="A3560" s="4" t="str">
        <f>"20228027725"</f>
        <v>20228027725</v>
      </c>
      <c r="B3560" s="4" t="str">
        <f t="shared" si="73"/>
        <v>20220212</v>
      </c>
      <c r="C3560" s="5">
        <v>97.29</v>
      </c>
      <c r="D3560" s="5">
        <v>104.3</v>
      </c>
      <c r="E3560" s="5">
        <v>101.5</v>
      </c>
    </row>
    <row r="3561" spans="1:5">
      <c r="A3561" s="4" t="str">
        <f>"20228027726"</f>
        <v>20228027726</v>
      </c>
      <c r="B3561" s="4" t="str">
        <f t="shared" si="73"/>
        <v>20220212</v>
      </c>
      <c r="C3561" s="5">
        <v>0</v>
      </c>
      <c r="D3561" s="5">
        <v>0</v>
      </c>
      <c r="E3561" s="5">
        <v>0</v>
      </c>
    </row>
    <row r="3562" spans="1:5">
      <c r="A3562" s="4" t="str">
        <f>"20228027727"</f>
        <v>20228027727</v>
      </c>
      <c r="B3562" s="4" t="str">
        <f t="shared" si="73"/>
        <v>20220212</v>
      </c>
      <c r="C3562" s="5">
        <v>89.37</v>
      </c>
      <c r="D3562" s="5">
        <v>90.2</v>
      </c>
      <c r="E3562" s="5">
        <v>89.87</v>
      </c>
    </row>
    <row r="3563" spans="1:5">
      <c r="A3563" s="4" t="str">
        <f>"20228027728"</f>
        <v>20228027728</v>
      </c>
      <c r="B3563" s="4" t="str">
        <f t="shared" ref="B3563:B3576" si="74">"20220212"</f>
        <v>20220212</v>
      </c>
      <c r="C3563" s="5">
        <v>0</v>
      </c>
      <c r="D3563" s="5">
        <v>0</v>
      </c>
      <c r="E3563" s="5">
        <v>0</v>
      </c>
    </row>
    <row r="3564" spans="1:5">
      <c r="A3564" s="4" t="str">
        <f>"20228027729"</f>
        <v>20228027729</v>
      </c>
      <c r="B3564" s="4" t="str">
        <f t="shared" si="74"/>
        <v>20220212</v>
      </c>
      <c r="C3564" s="5">
        <v>62.79</v>
      </c>
      <c r="D3564" s="5">
        <v>91.9</v>
      </c>
      <c r="E3564" s="5">
        <v>80.26</v>
      </c>
    </row>
    <row r="3565" spans="1:5">
      <c r="A3565" s="4" t="str">
        <f>"20228027730"</f>
        <v>20228027730</v>
      </c>
      <c r="B3565" s="4" t="str">
        <f t="shared" si="74"/>
        <v>20220212</v>
      </c>
      <c r="C3565" s="5">
        <v>72.15</v>
      </c>
      <c r="D3565" s="5">
        <v>82.3</v>
      </c>
      <c r="E3565" s="5">
        <v>78.24</v>
      </c>
    </row>
    <row r="3566" spans="1:5">
      <c r="A3566" s="4" t="str">
        <f>"20228027801"</f>
        <v>20228027801</v>
      </c>
      <c r="B3566" s="4" t="str">
        <f t="shared" si="74"/>
        <v>20220212</v>
      </c>
      <c r="C3566" s="5">
        <v>0</v>
      </c>
      <c r="D3566" s="5">
        <v>0</v>
      </c>
      <c r="E3566" s="5">
        <v>0</v>
      </c>
    </row>
    <row r="3567" spans="1:5">
      <c r="A3567" s="4" t="str">
        <f>"20228027802"</f>
        <v>20228027802</v>
      </c>
      <c r="B3567" s="4" t="str">
        <f t="shared" si="74"/>
        <v>20220212</v>
      </c>
      <c r="C3567" s="5">
        <v>0</v>
      </c>
      <c r="D3567" s="5">
        <v>0</v>
      </c>
      <c r="E3567" s="5">
        <v>0</v>
      </c>
    </row>
    <row r="3568" spans="1:5">
      <c r="A3568" s="4" t="str">
        <f>"20228027803"</f>
        <v>20228027803</v>
      </c>
      <c r="B3568" s="4" t="str">
        <f t="shared" si="74"/>
        <v>20220212</v>
      </c>
      <c r="C3568" s="5">
        <v>92.64</v>
      </c>
      <c r="D3568" s="5">
        <v>98.4</v>
      </c>
      <c r="E3568" s="5">
        <v>96.1</v>
      </c>
    </row>
    <row r="3569" spans="1:5">
      <c r="A3569" s="4" t="str">
        <f>"20228027804"</f>
        <v>20228027804</v>
      </c>
      <c r="B3569" s="4" t="str">
        <f t="shared" si="74"/>
        <v>20220212</v>
      </c>
      <c r="C3569" s="5">
        <v>72.31</v>
      </c>
      <c r="D3569" s="5">
        <v>81.6</v>
      </c>
      <c r="E3569" s="5">
        <v>77.88</v>
      </c>
    </row>
    <row r="3570" spans="1:5">
      <c r="A3570" s="4" t="str">
        <f>"20228027805"</f>
        <v>20228027805</v>
      </c>
      <c r="B3570" s="4" t="str">
        <f t="shared" si="74"/>
        <v>20220212</v>
      </c>
      <c r="C3570" s="5">
        <v>0</v>
      </c>
      <c r="D3570" s="5">
        <v>0</v>
      </c>
      <c r="E3570" s="5">
        <v>0</v>
      </c>
    </row>
    <row r="3571" spans="1:5">
      <c r="A3571" s="4" t="str">
        <f>"20228027806"</f>
        <v>20228027806</v>
      </c>
      <c r="B3571" s="4" t="str">
        <f t="shared" si="74"/>
        <v>20220212</v>
      </c>
      <c r="C3571" s="5">
        <v>0</v>
      </c>
      <c r="D3571" s="5">
        <v>0</v>
      </c>
      <c r="E3571" s="5">
        <v>0</v>
      </c>
    </row>
    <row r="3572" spans="1:5">
      <c r="A3572" s="4" t="str">
        <f>"20228027807"</f>
        <v>20228027807</v>
      </c>
      <c r="B3572" s="4" t="str">
        <f t="shared" si="74"/>
        <v>20220212</v>
      </c>
      <c r="C3572" s="5">
        <v>62.5</v>
      </c>
      <c r="D3572" s="5">
        <v>89.9</v>
      </c>
      <c r="E3572" s="5">
        <v>78.94</v>
      </c>
    </row>
    <row r="3573" spans="1:5">
      <c r="A3573" s="4" t="str">
        <f>"20228027808"</f>
        <v>20228027808</v>
      </c>
      <c r="B3573" s="4" t="str">
        <f t="shared" si="74"/>
        <v>20220212</v>
      </c>
      <c r="C3573" s="5">
        <v>69.49</v>
      </c>
      <c r="D3573" s="5">
        <v>87.9</v>
      </c>
      <c r="E3573" s="5">
        <v>80.54</v>
      </c>
    </row>
    <row r="3574" spans="1:5">
      <c r="A3574" s="4" t="str">
        <f>"20228027809"</f>
        <v>20228027809</v>
      </c>
      <c r="B3574" s="4" t="str">
        <f t="shared" si="74"/>
        <v>20220212</v>
      </c>
      <c r="C3574" s="5">
        <v>0</v>
      </c>
      <c r="D3574" s="5">
        <v>0</v>
      </c>
      <c r="E3574" s="5">
        <v>0</v>
      </c>
    </row>
    <row r="3575" spans="1:5">
      <c r="A3575" s="4" t="str">
        <f>"20228027810"</f>
        <v>20228027810</v>
      </c>
      <c r="B3575" s="4" t="str">
        <f t="shared" si="74"/>
        <v>20220212</v>
      </c>
      <c r="C3575" s="5">
        <v>79.98</v>
      </c>
      <c r="D3575" s="5">
        <v>84.8</v>
      </c>
      <c r="E3575" s="5">
        <v>82.87</v>
      </c>
    </row>
    <row r="3576" spans="1:5">
      <c r="A3576" s="4" t="str">
        <f>"20228027811"</f>
        <v>20228027811</v>
      </c>
      <c r="B3576" s="4" t="str">
        <f t="shared" si="74"/>
        <v>20220212</v>
      </c>
      <c r="C3576" s="5">
        <v>0</v>
      </c>
      <c r="D3576" s="5">
        <v>0</v>
      </c>
      <c r="E3576" s="5">
        <v>0</v>
      </c>
    </row>
    <row r="3577" spans="1:5">
      <c r="A3577" s="4" t="str">
        <f>"20228027812"</f>
        <v>20228027812</v>
      </c>
      <c r="B3577" s="4" t="str">
        <f t="shared" ref="B3577:B3612" si="75">"20220210"</f>
        <v>20220210</v>
      </c>
      <c r="C3577" s="5">
        <v>0</v>
      </c>
      <c r="D3577" s="5">
        <v>0</v>
      </c>
      <c r="E3577" s="5">
        <v>0</v>
      </c>
    </row>
    <row r="3578" spans="1:5">
      <c r="A3578" s="4" t="str">
        <f>"20228027813"</f>
        <v>20228027813</v>
      </c>
      <c r="B3578" s="4" t="str">
        <f t="shared" si="75"/>
        <v>20220210</v>
      </c>
      <c r="C3578" s="5">
        <v>93.6</v>
      </c>
      <c r="D3578" s="5">
        <v>78.5</v>
      </c>
      <c r="E3578" s="5">
        <v>84.54</v>
      </c>
    </row>
    <row r="3579" spans="1:5">
      <c r="A3579" s="4" t="str">
        <f>"20228027814"</f>
        <v>20228027814</v>
      </c>
      <c r="B3579" s="4" t="str">
        <f t="shared" si="75"/>
        <v>20220210</v>
      </c>
      <c r="C3579" s="5">
        <v>0</v>
      </c>
      <c r="D3579" s="5">
        <v>0</v>
      </c>
      <c r="E3579" s="5">
        <v>0</v>
      </c>
    </row>
    <row r="3580" spans="1:5">
      <c r="A3580" s="4" t="str">
        <f>"20228027815"</f>
        <v>20228027815</v>
      </c>
      <c r="B3580" s="4" t="str">
        <f t="shared" si="75"/>
        <v>20220210</v>
      </c>
      <c r="C3580" s="5">
        <v>58.98</v>
      </c>
      <c r="D3580" s="5">
        <v>59.8</v>
      </c>
      <c r="E3580" s="5">
        <v>59.47</v>
      </c>
    </row>
    <row r="3581" spans="1:5">
      <c r="A3581" s="4" t="str">
        <f>"20228027816"</f>
        <v>20228027816</v>
      </c>
      <c r="B3581" s="4" t="str">
        <f t="shared" si="75"/>
        <v>20220210</v>
      </c>
      <c r="C3581" s="5">
        <v>80.86</v>
      </c>
      <c r="D3581" s="5">
        <v>74.8</v>
      </c>
      <c r="E3581" s="5">
        <v>77.22</v>
      </c>
    </row>
    <row r="3582" spans="1:5">
      <c r="A3582" s="4" t="str">
        <f>"20228027817"</f>
        <v>20228027817</v>
      </c>
      <c r="B3582" s="4" t="str">
        <f t="shared" si="75"/>
        <v>20220210</v>
      </c>
      <c r="C3582" s="5">
        <v>0</v>
      </c>
      <c r="D3582" s="5">
        <v>0</v>
      </c>
      <c r="E3582" s="5">
        <v>0</v>
      </c>
    </row>
    <row r="3583" spans="1:5">
      <c r="A3583" s="4" t="str">
        <f>"20228027818"</f>
        <v>20228027818</v>
      </c>
      <c r="B3583" s="4" t="str">
        <f t="shared" si="75"/>
        <v>20220210</v>
      </c>
      <c r="C3583" s="5">
        <v>87.65</v>
      </c>
      <c r="D3583" s="5">
        <v>73.9</v>
      </c>
      <c r="E3583" s="5">
        <v>79.4</v>
      </c>
    </row>
    <row r="3584" spans="1:5">
      <c r="A3584" s="4" t="str">
        <f>"20228027819"</f>
        <v>20228027819</v>
      </c>
      <c r="B3584" s="4" t="str">
        <f t="shared" si="75"/>
        <v>20220210</v>
      </c>
      <c r="C3584" s="5">
        <v>82.95</v>
      </c>
      <c r="D3584" s="5">
        <v>72.8</v>
      </c>
      <c r="E3584" s="5">
        <v>76.86</v>
      </c>
    </row>
    <row r="3585" spans="1:5">
      <c r="A3585" s="4" t="str">
        <f>"20228027820"</f>
        <v>20228027820</v>
      </c>
      <c r="B3585" s="4" t="str">
        <f t="shared" si="75"/>
        <v>20220210</v>
      </c>
      <c r="C3585" s="5">
        <v>83.49</v>
      </c>
      <c r="D3585" s="5">
        <v>70.3</v>
      </c>
      <c r="E3585" s="5">
        <v>75.58</v>
      </c>
    </row>
    <row r="3586" spans="1:5">
      <c r="A3586" s="4" t="str">
        <f>"20228027821"</f>
        <v>20228027821</v>
      </c>
      <c r="B3586" s="4" t="str">
        <f t="shared" si="75"/>
        <v>20220210</v>
      </c>
      <c r="C3586" s="5">
        <v>0</v>
      </c>
      <c r="D3586" s="5">
        <v>0</v>
      </c>
      <c r="E3586" s="5">
        <v>0</v>
      </c>
    </row>
    <row r="3587" spans="1:5">
      <c r="A3587" s="4" t="str">
        <f>"20228027822"</f>
        <v>20228027822</v>
      </c>
      <c r="B3587" s="4" t="str">
        <f t="shared" si="75"/>
        <v>20220210</v>
      </c>
      <c r="C3587" s="5">
        <v>87.57</v>
      </c>
      <c r="D3587" s="5">
        <v>74</v>
      </c>
      <c r="E3587" s="5">
        <v>79.43</v>
      </c>
    </row>
    <row r="3588" spans="1:5">
      <c r="A3588" s="4" t="str">
        <f>"20228027823"</f>
        <v>20228027823</v>
      </c>
      <c r="B3588" s="4" t="str">
        <f t="shared" si="75"/>
        <v>20220210</v>
      </c>
      <c r="C3588" s="5">
        <v>76.62</v>
      </c>
      <c r="D3588" s="5">
        <v>61.6</v>
      </c>
      <c r="E3588" s="5">
        <v>67.61</v>
      </c>
    </row>
    <row r="3589" spans="1:5">
      <c r="A3589" s="4" t="str">
        <f>"20228027824"</f>
        <v>20228027824</v>
      </c>
      <c r="B3589" s="4" t="str">
        <f t="shared" si="75"/>
        <v>20220210</v>
      </c>
      <c r="C3589" s="5">
        <v>0</v>
      </c>
      <c r="D3589" s="5">
        <v>0</v>
      </c>
      <c r="E3589" s="5">
        <v>0</v>
      </c>
    </row>
    <row r="3590" spans="1:5">
      <c r="A3590" s="4" t="str">
        <f>"20228027825"</f>
        <v>20228027825</v>
      </c>
      <c r="B3590" s="4" t="str">
        <f t="shared" si="75"/>
        <v>20220210</v>
      </c>
      <c r="C3590" s="5">
        <v>87.31</v>
      </c>
      <c r="D3590" s="5">
        <v>63.5</v>
      </c>
      <c r="E3590" s="5">
        <v>73.02</v>
      </c>
    </row>
    <row r="3591" spans="1:5">
      <c r="A3591" s="4" t="str">
        <f>"20228027826"</f>
        <v>20228027826</v>
      </c>
      <c r="B3591" s="4" t="str">
        <f t="shared" si="75"/>
        <v>20220210</v>
      </c>
      <c r="C3591" s="5">
        <v>87.97</v>
      </c>
      <c r="D3591" s="5">
        <v>66.6</v>
      </c>
      <c r="E3591" s="5">
        <v>75.15</v>
      </c>
    </row>
    <row r="3592" spans="1:5">
      <c r="A3592" s="4" t="str">
        <f>"20228027827"</f>
        <v>20228027827</v>
      </c>
      <c r="B3592" s="4" t="str">
        <f t="shared" si="75"/>
        <v>20220210</v>
      </c>
      <c r="C3592" s="5">
        <v>80.23</v>
      </c>
      <c r="D3592" s="5">
        <v>80.3</v>
      </c>
      <c r="E3592" s="5">
        <v>80.27</v>
      </c>
    </row>
    <row r="3593" spans="1:5">
      <c r="A3593" s="4" t="str">
        <f>"20228027828"</f>
        <v>20228027828</v>
      </c>
      <c r="B3593" s="4" t="str">
        <f t="shared" si="75"/>
        <v>20220210</v>
      </c>
      <c r="C3593" s="5">
        <v>0</v>
      </c>
      <c r="D3593" s="5">
        <v>0</v>
      </c>
      <c r="E3593" s="5">
        <v>0</v>
      </c>
    </row>
    <row r="3594" spans="1:5">
      <c r="A3594" s="4" t="str">
        <f>"20228027829"</f>
        <v>20228027829</v>
      </c>
      <c r="B3594" s="4" t="str">
        <f t="shared" si="75"/>
        <v>20220210</v>
      </c>
      <c r="C3594" s="5">
        <v>0</v>
      </c>
      <c r="D3594" s="5">
        <v>0</v>
      </c>
      <c r="E3594" s="5">
        <v>0</v>
      </c>
    </row>
    <row r="3595" spans="1:5">
      <c r="A3595" s="4" t="str">
        <f>"20228027830"</f>
        <v>20228027830</v>
      </c>
      <c r="B3595" s="4" t="str">
        <f t="shared" si="75"/>
        <v>20220210</v>
      </c>
      <c r="C3595" s="5">
        <v>0</v>
      </c>
      <c r="D3595" s="5">
        <v>0</v>
      </c>
      <c r="E3595" s="5">
        <v>0</v>
      </c>
    </row>
    <row r="3596" spans="1:5">
      <c r="A3596" s="4" t="str">
        <f>"20228027901"</f>
        <v>20228027901</v>
      </c>
      <c r="B3596" s="4" t="str">
        <f t="shared" si="75"/>
        <v>20220210</v>
      </c>
      <c r="C3596" s="5">
        <v>77.9</v>
      </c>
      <c r="D3596" s="5">
        <v>71.1</v>
      </c>
      <c r="E3596" s="5">
        <v>73.82</v>
      </c>
    </row>
    <row r="3597" spans="1:5">
      <c r="A3597" s="4" t="str">
        <f>"20228027902"</f>
        <v>20228027902</v>
      </c>
      <c r="B3597" s="4" t="str">
        <f t="shared" si="75"/>
        <v>20220210</v>
      </c>
      <c r="C3597" s="5">
        <v>94.83</v>
      </c>
      <c r="D3597" s="5">
        <v>77.2</v>
      </c>
      <c r="E3597" s="5">
        <v>84.25</v>
      </c>
    </row>
    <row r="3598" spans="1:5">
      <c r="A3598" s="4" t="str">
        <f>"20228027903"</f>
        <v>20228027903</v>
      </c>
      <c r="B3598" s="4" t="str">
        <f t="shared" si="75"/>
        <v>20220210</v>
      </c>
      <c r="C3598" s="5">
        <v>0</v>
      </c>
      <c r="D3598" s="5">
        <v>0</v>
      </c>
      <c r="E3598" s="5">
        <v>0</v>
      </c>
    </row>
    <row r="3599" spans="1:5">
      <c r="A3599" s="4" t="str">
        <f>"20228027904"</f>
        <v>20228027904</v>
      </c>
      <c r="B3599" s="4" t="str">
        <f t="shared" si="75"/>
        <v>20220210</v>
      </c>
      <c r="C3599" s="5">
        <v>0</v>
      </c>
      <c r="D3599" s="5">
        <v>0</v>
      </c>
      <c r="E3599" s="5">
        <v>0</v>
      </c>
    </row>
    <row r="3600" spans="1:5">
      <c r="A3600" s="4" t="str">
        <f>"20228027905"</f>
        <v>20228027905</v>
      </c>
      <c r="B3600" s="4" t="str">
        <f t="shared" si="75"/>
        <v>20220210</v>
      </c>
      <c r="C3600" s="5">
        <v>63.83</v>
      </c>
      <c r="D3600" s="5">
        <v>78</v>
      </c>
      <c r="E3600" s="5">
        <v>72.33</v>
      </c>
    </row>
    <row r="3601" spans="1:5">
      <c r="A3601" s="4" t="str">
        <f>"20228027906"</f>
        <v>20228027906</v>
      </c>
      <c r="B3601" s="4" t="str">
        <f t="shared" si="75"/>
        <v>20220210</v>
      </c>
      <c r="C3601" s="5">
        <v>75.42</v>
      </c>
      <c r="D3601" s="5">
        <v>68.8</v>
      </c>
      <c r="E3601" s="5">
        <v>71.45</v>
      </c>
    </row>
    <row r="3602" spans="1:5">
      <c r="A3602" s="4" t="str">
        <f>"20228027907"</f>
        <v>20228027907</v>
      </c>
      <c r="B3602" s="4" t="str">
        <f t="shared" si="75"/>
        <v>20220210</v>
      </c>
      <c r="C3602" s="5">
        <v>0</v>
      </c>
      <c r="D3602" s="5">
        <v>0</v>
      </c>
      <c r="E3602" s="5">
        <v>0</v>
      </c>
    </row>
    <row r="3603" spans="1:5">
      <c r="A3603" s="4" t="str">
        <f>"20228027908"</f>
        <v>20228027908</v>
      </c>
      <c r="B3603" s="4" t="str">
        <f t="shared" si="75"/>
        <v>20220210</v>
      </c>
      <c r="C3603" s="5">
        <v>82.4</v>
      </c>
      <c r="D3603" s="5">
        <v>79.1</v>
      </c>
      <c r="E3603" s="5">
        <v>80.42</v>
      </c>
    </row>
    <row r="3604" spans="1:5">
      <c r="A3604" s="4" t="str">
        <f>"20228027909"</f>
        <v>20228027909</v>
      </c>
      <c r="B3604" s="4" t="str">
        <f t="shared" si="75"/>
        <v>20220210</v>
      </c>
      <c r="C3604" s="5">
        <v>81.05</v>
      </c>
      <c r="D3604" s="5">
        <v>75.5</v>
      </c>
      <c r="E3604" s="5">
        <v>77.72</v>
      </c>
    </row>
    <row r="3605" spans="1:5">
      <c r="A3605" s="4" t="str">
        <f>"20228027910"</f>
        <v>20228027910</v>
      </c>
      <c r="B3605" s="4" t="str">
        <f t="shared" si="75"/>
        <v>20220210</v>
      </c>
      <c r="C3605" s="5">
        <v>66.44</v>
      </c>
      <c r="D3605" s="5">
        <v>64</v>
      </c>
      <c r="E3605" s="5">
        <v>64.98</v>
      </c>
    </row>
    <row r="3606" spans="1:5">
      <c r="A3606" s="4" t="str">
        <f>"20228027911"</f>
        <v>20228027911</v>
      </c>
      <c r="B3606" s="4" t="str">
        <f t="shared" si="75"/>
        <v>20220210</v>
      </c>
      <c r="C3606" s="5">
        <v>76.72</v>
      </c>
      <c r="D3606" s="5">
        <v>73.1</v>
      </c>
      <c r="E3606" s="5">
        <v>74.55</v>
      </c>
    </row>
    <row r="3607" spans="1:5">
      <c r="A3607" s="4" t="str">
        <f>"20228027912"</f>
        <v>20228027912</v>
      </c>
      <c r="B3607" s="4" t="str">
        <f t="shared" si="75"/>
        <v>20220210</v>
      </c>
      <c r="C3607" s="5">
        <v>94.68</v>
      </c>
      <c r="D3607" s="5">
        <v>79.7</v>
      </c>
      <c r="E3607" s="5">
        <v>85.69</v>
      </c>
    </row>
    <row r="3608" spans="1:5">
      <c r="A3608" s="4" t="str">
        <f>"20228027913"</f>
        <v>20228027913</v>
      </c>
      <c r="B3608" s="4" t="str">
        <f t="shared" si="75"/>
        <v>20220210</v>
      </c>
      <c r="C3608" s="5">
        <v>79.24</v>
      </c>
      <c r="D3608" s="5">
        <v>60.8</v>
      </c>
      <c r="E3608" s="5">
        <v>68.18</v>
      </c>
    </row>
    <row r="3609" spans="1:5">
      <c r="A3609" s="4" t="str">
        <f>"20228027914"</f>
        <v>20228027914</v>
      </c>
      <c r="B3609" s="4" t="str">
        <f t="shared" si="75"/>
        <v>20220210</v>
      </c>
      <c r="C3609" s="5">
        <v>64.51</v>
      </c>
      <c r="D3609" s="5">
        <v>67.2</v>
      </c>
      <c r="E3609" s="5">
        <v>66.12</v>
      </c>
    </row>
    <row r="3610" spans="1:5">
      <c r="A3610" s="4" t="str">
        <f>"20228027915"</f>
        <v>20228027915</v>
      </c>
      <c r="B3610" s="4" t="str">
        <f t="shared" si="75"/>
        <v>20220210</v>
      </c>
      <c r="C3610" s="5">
        <v>0</v>
      </c>
      <c r="D3610" s="5">
        <v>0</v>
      </c>
      <c r="E3610" s="5">
        <v>0</v>
      </c>
    </row>
    <row r="3611" spans="1:5">
      <c r="A3611" s="4" t="str">
        <f>"20228027916"</f>
        <v>20228027916</v>
      </c>
      <c r="B3611" s="4" t="str">
        <f t="shared" si="75"/>
        <v>20220210</v>
      </c>
      <c r="C3611" s="5">
        <v>0</v>
      </c>
      <c r="D3611" s="5">
        <v>0</v>
      </c>
      <c r="E3611" s="5">
        <v>0</v>
      </c>
    </row>
    <row r="3612" spans="1:5">
      <c r="A3612" s="4" t="str">
        <f>"20228027917"</f>
        <v>20228027917</v>
      </c>
      <c r="B3612" s="4" t="str">
        <f t="shared" si="75"/>
        <v>20220210</v>
      </c>
      <c r="C3612" s="5">
        <v>93.13</v>
      </c>
      <c r="D3612" s="5">
        <v>79.6</v>
      </c>
      <c r="E3612" s="5">
        <v>85.01</v>
      </c>
    </row>
    <row r="3613" spans="1:5">
      <c r="A3613" s="4" t="str">
        <f>"20228027918"</f>
        <v>20228027918</v>
      </c>
      <c r="B3613" s="4" t="str">
        <f t="shared" ref="B3613:B3653" si="76">"20220211"</f>
        <v>20220211</v>
      </c>
      <c r="C3613" s="5">
        <v>68.93</v>
      </c>
      <c r="D3613" s="5">
        <v>91.8</v>
      </c>
      <c r="E3613" s="5">
        <v>82.65</v>
      </c>
    </row>
    <row r="3614" spans="1:5">
      <c r="A3614" s="4" t="str">
        <f>"20228027919"</f>
        <v>20228027919</v>
      </c>
      <c r="B3614" s="4" t="str">
        <f t="shared" si="76"/>
        <v>20220211</v>
      </c>
      <c r="C3614" s="5">
        <v>70.34</v>
      </c>
      <c r="D3614" s="5">
        <v>98</v>
      </c>
      <c r="E3614" s="5">
        <v>86.94</v>
      </c>
    </row>
    <row r="3615" spans="1:5">
      <c r="A3615" s="4" t="str">
        <f>"20228027920"</f>
        <v>20228027920</v>
      </c>
      <c r="B3615" s="4" t="str">
        <f t="shared" si="76"/>
        <v>20220211</v>
      </c>
      <c r="C3615" s="5">
        <v>0</v>
      </c>
      <c r="D3615" s="5">
        <v>0</v>
      </c>
      <c r="E3615" s="5">
        <v>0</v>
      </c>
    </row>
    <row r="3616" spans="1:5">
      <c r="A3616" s="4" t="str">
        <f>"20228027921"</f>
        <v>20228027921</v>
      </c>
      <c r="B3616" s="4" t="str">
        <f t="shared" si="76"/>
        <v>20220211</v>
      </c>
      <c r="C3616" s="5">
        <v>86.65</v>
      </c>
      <c r="D3616" s="5">
        <v>96.5</v>
      </c>
      <c r="E3616" s="5">
        <v>92.56</v>
      </c>
    </row>
    <row r="3617" spans="1:5">
      <c r="A3617" s="4" t="str">
        <f>"20228027922"</f>
        <v>20228027922</v>
      </c>
      <c r="B3617" s="4" t="str">
        <f t="shared" si="76"/>
        <v>20220211</v>
      </c>
      <c r="C3617" s="5">
        <v>0</v>
      </c>
      <c r="D3617" s="5">
        <v>0</v>
      </c>
      <c r="E3617" s="5">
        <v>0</v>
      </c>
    </row>
    <row r="3618" spans="1:5">
      <c r="A3618" s="4" t="str">
        <f>"20228027923"</f>
        <v>20228027923</v>
      </c>
      <c r="B3618" s="4" t="str">
        <f t="shared" si="76"/>
        <v>20220211</v>
      </c>
      <c r="C3618" s="5">
        <v>86.8</v>
      </c>
      <c r="D3618" s="5">
        <v>98.5</v>
      </c>
      <c r="E3618" s="5">
        <v>93.82</v>
      </c>
    </row>
    <row r="3619" spans="1:5">
      <c r="A3619" s="4" t="str">
        <f>"20228027924"</f>
        <v>20228027924</v>
      </c>
      <c r="B3619" s="4" t="str">
        <f t="shared" si="76"/>
        <v>20220211</v>
      </c>
      <c r="C3619" s="5">
        <v>0</v>
      </c>
      <c r="D3619" s="5">
        <v>0</v>
      </c>
      <c r="E3619" s="5">
        <v>0</v>
      </c>
    </row>
    <row r="3620" spans="1:5">
      <c r="A3620" s="4" t="str">
        <f>"20228027925"</f>
        <v>20228027925</v>
      </c>
      <c r="B3620" s="4" t="str">
        <f t="shared" si="76"/>
        <v>20220211</v>
      </c>
      <c r="C3620" s="5">
        <v>67.57</v>
      </c>
      <c r="D3620" s="5">
        <v>82.5</v>
      </c>
      <c r="E3620" s="5">
        <v>76.53</v>
      </c>
    </row>
    <row r="3621" spans="1:5">
      <c r="A3621" s="4" t="str">
        <f>"20228027926"</f>
        <v>20228027926</v>
      </c>
      <c r="B3621" s="4" t="str">
        <f t="shared" si="76"/>
        <v>20220211</v>
      </c>
      <c r="C3621" s="5">
        <v>78.81</v>
      </c>
      <c r="D3621" s="5">
        <v>96.2</v>
      </c>
      <c r="E3621" s="5">
        <v>89.24</v>
      </c>
    </row>
    <row r="3622" spans="1:5">
      <c r="A3622" s="4" t="str">
        <f>"20228027927"</f>
        <v>20228027927</v>
      </c>
      <c r="B3622" s="4" t="str">
        <f t="shared" si="76"/>
        <v>20220211</v>
      </c>
      <c r="C3622" s="5">
        <v>61.05</v>
      </c>
      <c r="D3622" s="5">
        <v>89.4</v>
      </c>
      <c r="E3622" s="5">
        <v>78.06</v>
      </c>
    </row>
    <row r="3623" spans="1:5">
      <c r="A3623" s="4" t="str">
        <f>"20228027928"</f>
        <v>20228027928</v>
      </c>
      <c r="B3623" s="4" t="str">
        <f t="shared" si="76"/>
        <v>20220211</v>
      </c>
      <c r="C3623" s="5">
        <v>0</v>
      </c>
      <c r="D3623" s="5">
        <v>0</v>
      </c>
      <c r="E3623" s="5">
        <v>0</v>
      </c>
    </row>
    <row r="3624" spans="1:5">
      <c r="A3624" s="4" t="str">
        <f>"20228027929"</f>
        <v>20228027929</v>
      </c>
      <c r="B3624" s="4" t="str">
        <f t="shared" si="76"/>
        <v>20220211</v>
      </c>
      <c r="C3624" s="5">
        <v>0</v>
      </c>
      <c r="D3624" s="5">
        <v>0</v>
      </c>
      <c r="E3624" s="5">
        <v>0</v>
      </c>
    </row>
    <row r="3625" spans="1:5">
      <c r="A3625" s="4" t="str">
        <f>"20228027930"</f>
        <v>20228027930</v>
      </c>
      <c r="B3625" s="4" t="str">
        <f t="shared" si="76"/>
        <v>20220211</v>
      </c>
      <c r="C3625" s="5">
        <v>76.6</v>
      </c>
      <c r="D3625" s="5">
        <v>93.4</v>
      </c>
      <c r="E3625" s="5">
        <v>86.68</v>
      </c>
    </row>
    <row r="3626" spans="1:5">
      <c r="A3626" s="4" t="str">
        <f>"20228028001"</f>
        <v>20228028001</v>
      </c>
      <c r="B3626" s="4" t="str">
        <f t="shared" si="76"/>
        <v>20220211</v>
      </c>
      <c r="C3626" s="5">
        <v>0</v>
      </c>
      <c r="D3626" s="5">
        <v>0</v>
      </c>
      <c r="E3626" s="5">
        <v>0</v>
      </c>
    </row>
    <row r="3627" spans="1:5">
      <c r="A3627" s="4" t="str">
        <f>"20228028002"</f>
        <v>20228028002</v>
      </c>
      <c r="B3627" s="4" t="str">
        <f t="shared" si="76"/>
        <v>20220211</v>
      </c>
      <c r="C3627" s="5">
        <v>0</v>
      </c>
      <c r="D3627" s="5">
        <v>0</v>
      </c>
      <c r="E3627" s="5">
        <v>0</v>
      </c>
    </row>
    <row r="3628" spans="1:5">
      <c r="A3628" s="4" t="str">
        <f>"20228028003"</f>
        <v>20228028003</v>
      </c>
      <c r="B3628" s="4" t="str">
        <f t="shared" si="76"/>
        <v>20220211</v>
      </c>
      <c r="C3628" s="5">
        <v>76.36</v>
      </c>
      <c r="D3628" s="5">
        <v>79.9</v>
      </c>
      <c r="E3628" s="5">
        <v>78.48</v>
      </c>
    </row>
    <row r="3629" spans="1:5">
      <c r="A3629" s="4" t="str">
        <f>"20228028004"</f>
        <v>20228028004</v>
      </c>
      <c r="B3629" s="4" t="str">
        <f t="shared" si="76"/>
        <v>20220211</v>
      </c>
      <c r="C3629" s="5">
        <v>59.45</v>
      </c>
      <c r="D3629" s="5">
        <v>54.6</v>
      </c>
      <c r="E3629" s="5">
        <v>56.54</v>
      </c>
    </row>
    <row r="3630" spans="1:5">
      <c r="A3630" s="4" t="str">
        <f>"20228028005"</f>
        <v>20228028005</v>
      </c>
      <c r="B3630" s="4" t="str">
        <f t="shared" si="76"/>
        <v>20220211</v>
      </c>
      <c r="C3630" s="5">
        <v>89.93</v>
      </c>
      <c r="D3630" s="5">
        <v>103.1</v>
      </c>
      <c r="E3630" s="5">
        <v>97.83</v>
      </c>
    </row>
    <row r="3631" spans="1:5">
      <c r="A3631" s="4" t="str">
        <f>"20228028006"</f>
        <v>20228028006</v>
      </c>
      <c r="B3631" s="4" t="str">
        <f t="shared" si="76"/>
        <v>20220211</v>
      </c>
      <c r="C3631" s="5">
        <v>64.02</v>
      </c>
      <c r="D3631" s="5">
        <v>80.5</v>
      </c>
      <c r="E3631" s="5">
        <v>73.91</v>
      </c>
    </row>
    <row r="3632" spans="1:5">
      <c r="A3632" s="4" t="str">
        <f>"20228028007"</f>
        <v>20228028007</v>
      </c>
      <c r="B3632" s="4" t="str">
        <f t="shared" si="76"/>
        <v>20220211</v>
      </c>
      <c r="C3632" s="5">
        <v>0</v>
      </c>
      <c r="D3632" s="5">
        <v>0</v>
      </c>
      <c r="E3632" s="5">
        <v>0</v>
      </c>
    </row>
    <row r="3633" spans="1:5">
      <c r="A3633" s="4" t="str">
        <f>"20228028008"</f>
        <v>20228028008</v>
      </c>
      <c r="B3633" s="4" t="str">
        <f t="shared" si="76"/>
        <v>20220211</v>
      </c>
      <c r="C3633" s="5">
        <v>0</v>
      </c>
      <c r="D3633" s="5">
        <v>0</v>
      </c>
      <c r="E3633" s="5">
        <v>0</v>
      </c>
    </row>
    <row r="3634" spans="1:5">
      <c r="A3634" s="4" t="str">
        <f>"20228028009"</f>
        <v>20228028009</v>
      </c>
      <c r="B3634" s="4" t="str">
        <f t="shared" si="76"/>
        <v>20220211</v>
      </c>
      <c r="C3634" s="5">
        <v>76.86</v>
      </c>
      <c r="D3634" s="5">
        <v>97.9</v>
      </c>
      <c r="E3634" s="5">
        <v>89.48</v>
      </c>
    </row>
    <row r="3635" spans="1:5">
      <c r="A3635" s="4" t="str">
        <f>"20228028010"</f>
        <v>20228028010</v>
      </c>
      <c r="B3635" s="4" t="str">
        <f t="shared" si="76"/>
        <v>20220211</v>
      </c>
      <c r="C3635" s="5">
        <v>0</v>
      </c>
      <c r="D3635" s="5">
        <v>0</v>
      </c>
      <c r="E3635" s="5">
        <v>0</v>
      </c>
    </row>
    <row r="3636" spans="1:5">
      <c r="A3636" s="4" t="str">
        <f>"20228028011"</f>
        <v>20228028011</v>
      </c>
      <c r="B3636" s="4" t="str">
        <f t="shared" si="76"/>
        <v>20220211</v>
      </c>
      <c r="C3636" s="5">
        <v>0</v>
      </c>
      <c r="D3636" s="5">
        <v>0</v>
      </c>
      <c r="E3636" s="5">
        <v>0</v>
      </c>
    </row>
    <row r="3637" spans="1:5">
      <c r="A3637" s="4" t="str">
        <f>"20228028012"</f>
        <v>20228028012</v>
      </c>
      <c r="B3637" s="4" t="str">
        <f t="shared" si="76"/>
        <v>20220211</v>
      </c>
      <c r="C3637" s="5">
        <v>0</v>
      </c>
      <c r="D3637" s="5">
        <v>0</v>
      </c>
      <c r="E3637" s="5">
        <v>0</v>
      </c>
    </row>
    <row r="3638" spans="1:5">
      <c r="A3638" s="4" t="str">
        <f>"20228028013"</f>
        <v>20228028013</v>
      </c>
      <c r="B3638" s="4" t="str">
        <f t="shared" si="76"/>
        <v>20220211</v>
      </c>
      <c r="C3638" s="5">
        <v>61.49</v>
      </c>
      <c r="D3638" s="5">
        <v>72.3</v>
      </c>
      <c r="E3638" s="5">
        <v>67.98</v>
      </c>
    </row>
    <row r="3639" spans="1:5">
      <c r="A3639" s="4" t="str">
        <f>"20228028014"</f>
        <v>20228028014</v>
      </c>
      <c r="B3639" s="4" t="str">
        <f t="shared" si="76"/>
        <v>20220211</v>
      </c>
      <c r="C3639" s="5">
        <v>87.67</v>
      </c>
      <c r="D3639" s="5">
        <v>82.3</v>
      </c>
      <c r="E3639" s="5">
        <v>84.45</v>
      </c>
    </row>
    <row r="3640" spans="1:5">
      <c r="A3640" s="4" t="str">
        <f>"20228028015"</f>
        <v>20228028015</v>
      </c>
      <c r="B3640" s="4" t="str">
        <f t="shared" si="76"/>
        <v>20220211</v>
      </c>
      <c r="C3640" s="5">
        <v>0</v>
      </c>
      <c r="D3640" s="5">
        <v>0</v>
      </c>
      <c r="E3640" s="5">
        <v>0</v>
      </c>
    </row>
    <row r="3641" spans="1:5">
      <c r="A3641" s="4" t="str">
        <f>"20228028016"</f>
        <v>20228028016</v>
      </c>
      <c r="B3641" s="4" t="str">
        <f t="shared" si="76"/>
        <v>20220211</v>
      </c>
      <c r="C3641" s="5">
        <v>0</v>
      </c>
      <c r="D3641" s="5">
        <v>0</v>
      </c>
      <c r="E3641" s="5">
        <v>0</v>
      </c>
    </row>
    <row r="3642" spans="1:5">
      <c r="A3642" s="4" t="str">
        <f>"20228028017"</f>
        <v>20228028017</v>
      </c>
      <c r="B3642" s="4" t="str">
        <f t="shared" si="76"/>
        <v>20220211</v>
      </c>
      <c r="C3642" s="5">
        <v>78.84</v>
      </c>
      <c r="D3642" s="5">
        <v>88.8</v>
      </c>
      <c r="E3642" s="5">
        <v>84.82</v>
      </c>
    </row>
    <row r="3643" spans="1:5">
      <c r="A3643" s="4" t="str">
        <f>"20228028018"</f>
        <v>20228028018</v>
      </c>
      <c r="B3643" s="4" t="str">
        <f t="shared" si="76"/>
        <v>20220211</v>
      </c>
      <c r="C3643" s="5">
        <v>0</v>
      </c>
      <c r="D3643" s="5">
        <v>0</v>
      </c>
      <c r="E3643" s="5">
        <v>0</v>
      </c>
    </row>
    <row r="3644" spans="1:5">
      <c r="A3644" s="4" t="str">
        <f>"20228028019"</f>
        <v>20228028019</v>
      </c>
      <c r="B3644" s="4" t="str">
        <f t="shared" si="76"/>
        <v>20220211</v>
      </c>
      <c r="C3644" s="5">
        <v>77.69</v>
      </c>
      <c r="D3644" s="5">
        <v>101.6</v>
      </c>
      <c r="E3644" s="5">
        <v>92.04</v>
      </c>
    </row>
    <row r="3645" spans="1:5">
      <c r="A3645" s="4" t="str">
        <f>"20228028020"</f>
        <v>20228028020</v>
      </c>
      <c r="B3645" s="4" t="str">
        <f t="shared" si="76"/>
        <v>20220211</v>
      </c>
      <c r="C3645" s="5">
        <v>0</v>
      </c>
      <c r="D3645" s="5">
        <v>0</v>
      </c>
      <c r="E3645" s="5">
        <v>0</v>
      </c>
    </row>
    <row r="3646" spans="1:5">
      <c r="A3646" s="4" t="str">
        <f>"20228028021"</f>
        <v>20228028021</v>
      </c>
      <c r="B3646" s="4" t="str">
        <f t="shared" si="76"/>
        <v>20220211</v>
      </c>
      <c r="C3646" s="5">
        <v>0</v>
      </c>
      <c r="D3646" s="5">
        <v>0</v>
      </c>
      <c r="E3646" s="5">
        <v>0</v>
      </c>
    </row>
    <row r="3647" spans="1:5">
      <c r="A3647" s="4" t="str">
        <f>"20228028022"</f>
        <v>20228028022</v>
      </c>
      <c r="B3647" s="4" t="str">
        <f t="shared" si="76"/>
        <v>20220211</v>
      </c>
      <c r="C3647" s="5">
        <v>0</v>
      </c>
      <c r="D3647" s="5">
        <v>0</v>
      </c>
      <c r="E3647" s="5">
        <v>0</v>
      </c>
    </row>
    <row r="3648" spans="1:5">
      <c r="A3648" s="4" t="str">
        <f>"20228028023"</f>
        <v>20228028023</v>
      </c>
      <c r="B3648" s="4" t="str">
        <f t="shared" si="76"/>
        <v>20220211</v>
      </c>
      <c r="C3648" s="5">
        <v>0</v>
      </c>
      <c r="D3648" s="5">
        <v>0</v>
      </c>
      <c r="E3648" s="5">
        <v>0</v>
      </c>
    </row>
    <row r="3649" spans="1:5">
      <c r="A3649" s="4" t="str">
        <f>"20228028024"</f>
        <v>20228028024</v>
      </c>
      <c r="B3649" s="4" t="str">
        <f t="shared" si="76"/>
        <v>20220211</v>
      </c>
      <c r="C3649" s="5">
        <v>83.75</v>
      </c>
      <c r="D3649" s="5">
        <v>91.2</v>
      </c>
      <c r="E3649" s="5">
        <v>88.22</v>
      </c>
    </row>
    <row r="3650" spans="1:5">
      <c r="A3650" s="4" t="str">
        <f>"20228028025"</f>
        <v>20228028025</v>
      </c>
      <c r="B3650" s="4" t="str">
        <f t="shared" si="76"/>
        <v>20220211</v>
      </c>
      <c r="C3650" s="5">
        <v>84.62</v>
      </c>
      <c r="D3650" s="5">
        <v>90.7</v>
      </c>
      <c r="E3650" s="5">
        <v>88.27</v>
      </c>
    </row>
    <row r="3651" spans="1:5">
      <c r="A3651" s="4" t="str">
        <f>"20228028026"</f>
        <v>20228028026</v>
      </c>
      <c r="B3651" s="4" t="str">
        <f t="shared" si="76"/>
        <v>20220211</v>
      </c>
      <c r="C3651" s="5">
        <v>73.25</v>
      </c>
      <c r="D3651" s="5">
        <v>86.9</v>
      </c>
      <c r="E3651" s="5">
        <v>81.44</v>
      </c>
    </row>
    <row r="3652" spans="1:5">
      <c r="A3652" s="4" t="str">
        <f>"20228028027"</f>
        <v>20228028027</v>
      </c>
      <c r="B3652" s="4" t="str">
        <f t="shared" si="76"/>
        <v>20220211</v>
      </c>
      <c r="C3652" s="5">
        <v>81.19</v>
      </c>
      <c r="D3652" s="5">
        <v>63.2</v>
      </c>
      <c r="E3652" s="5">
        <v>70.4</v>
      </c>
    </row>
    <row r="3653" spans="1:5">
      <c r="A3653" s="4" t="str">
        <f>"20228028028"</f>
        <v>20228028028</v>
      </c>
      <c r="B3653" s="4" t="str">
        <f t="shared" si="76"/>
        <v>20220211</v>
      </c>
      <c r="C3653" s="5">
        <v>63.94</v>
      </c>
      <c r="D3653" s="5">
        <v>84.7</v>
      </c>
      <c r="E3653" s="5">
        <v>76.4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2022-08-28T01:43:00Z</dcterms:created>
  <dcterms:modified xsi:type="dcterms:W3CDTF">2022-08-28T02:04:23Z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14C86A21DD444984B2C61304656C8695</vt:lpwstr>
  </property>
  <property fmtid="{D5CDD505-2E9C-101B-9397-08002B2CF9AE}" pid="3" name="KSOProductBuildVer">
    <vt:lpwstr>2052-11.1.0.12313</vt:lpwstr>
  </property>
</Properties>
</file>